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336967\Documents\Backup Set 2020\Documents\Rebranding E-Redes\Docs Site\DEVOLVIDOS\2\"/>
    </mc:Choice>
  </mc:AlternateContent>
  <xr:revisionPtr revIDLastSave="0" documentId="8_{3A993652-6536-4EEB-9B6E-774C3277B2DE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Simulador Orçamento MT" sheetId="1" r:id="rId1"/>
    <sheet name="Folha auxiliar - old" sheetId="3" state="hidden" r:id="rId2"/>
    <sheet name="aux orçamento" sheetId="4" state="hidden" r:id="rId3"/>
  </sheets>
  <externalReferences>
    <externalReference r:id="rId4"/>
  </externalReferences>
  <definedNames>
    <definedName name="_xlnm.Print_Area" localSheetId="0">'Simulador Orçamento MT'!$A$1:$N$57</definedName>
    <definedName name="asd">'Simulador Orçamento MT'!$P$31</definedName>
    <definedName name="Escaloes">'Folha auxiliar - old'!$B$4:$B$17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 l="1"/>
  <c r="N31" i="1" s="1"/>
  <c r="D43" i="4"/>
  <c r="S9" i="4"/>
  <c r="S8" i="4"/>
  <c r="B47" i="1" l="1"/>
  <c r="M31" i="1"/>
  <c r="B45" i="1" s="1"/>
  <c r="E35" i="1"/>
  <c r="S5" i="4"/>
  <c r="D30" i="4"/>
  <c r="M27" i="4"/>
  <c r="C22" i="4"/>
  <c r="F22" i="4" s="1"/>
  <c r="C21" i="4"/>
  <c r="D21" i="4" s="1"/>
  <c r="S10" i="4"/>
  <c r="T8" i="4" s="1"/>
  <c r="K27" i="4"/>
  <c r="C16" i="4" l="1"/>
  <c r="D16" i="4" s="1"/>
  <c r="D27" i="4" s="1"/>
  <c r="N28" i="4"/>
  <c r="D38" i="4" s="1"/>
  <c r="T9" i="4"/>
  <c r="C12" i="4" s="1"/>
  <c r="C17" i="4"/>
  <c r="F17" i="4" s="1"/>
  <c r="S14" i="4"/>
  <c r="S15" i="4"/>
  <c r="D36" i="4"/>
  <c r="D28" i="4" l="1"/>
  <c r="D34" i="4" s="1"/>
  <c r="K40" i="1" s="1"/>
  <c r="C10" i="4"/>
  <c r="D32" i="4" s="1"/>
  <c r="D40" i="4" l="1"/>
  <c r="K35" i="1" s="1"/>
  <c r="J30" i="3" l="1"/>
  <c r="J27" i="3"/>
  <c r="I27" i="3"/>
  <c r="B4" i="3" l="1"/>
  <c r="C25" i="3" l="1"/>
  <c r="I39" i="3"/>
  <c r="I38" i="3"/>
  <c r="H45" i="3" s="1"/>
  <c r="F5" i="3"/>
  <c r="C36" i="1"/>
  <c r="C39" i="1" l="1"/>
  <c r="C40" i="1"/>
  <c r="K39" i="1"/>
  <c r="K41" i="1"/>
  <c r="C41" i="1"/>
  <c r="B36" i="1"/>
  <c r="Q3" i="3"/>
  <c r="E11" i="3" s="1"/>
  <c r="F11" i="3" s="1"/>
  <c r="Q5" i="3"/>
  <c r="Q7" i="3"/>
  <c r="F14" i="3" l="1"/>
  <c r="E12" i="3"/>
  <c r="H12" i="3" s="1"/>
  <c r="F15" i="3" s="1"/>
  <c r="Q9" i="3"/>
  <c r="C43" i="1"/>
  <c r="C38" i="1"/>
  <c r="L35" i="1"/>
  <c r="L39" i="1"/>
  <c r="B38" i="1"/>
</calcChain>
</file>

<file path=xl/sharedStrings.xml><?xml version="1.0" encoding="utf-8"?>
<sst xmlns="http://schemas.openxmlformats.org/spreadsheetml/2006/main" count="134" uniqueCount="99">
  <si>
    <t>Atenção:</t>
  </si>
  <si>
    <t>Nível de Tensão</t>
  </si>
  <si>
    <t>Potência Requisitada
[kVA]</t>
  </si>
  <si>
    <t>Ligação Aérea
(€/m)</t>
  </si>
  <si>
    <t>Ligação Subterrânea
(€/m)</t>
  </si>
  <si>
    <t>Potência requisitada</t>
  </si>
  <si>
    <t>Valor a multiplicar</t>
  </si>
  <si>
    <t>Comprimento uso partilhado</t>
  </si>
  <si>
    <t>Valor de comparticipação</t>
  </si>
  <si>
    <t>Simulador do Valor de Orçamento para Ligação à Rede de Média Tensão</t>
  </si>
  <si>
    <t>[kVA]</t>
  </si>
  <si>
    <t>MT</t>
  </si>
  <si>
    <t>Qualquer valor</t>
  </si>
  <si>
    <t>- Este simulador não dispensa nem substitui o orçamento definitivo nem exclui a consulta da legislação e regulamentação em vigor sobre a matéria.</t>
  </si>
  <si>
    <t xml:space="preserve"> - Os valores considerados têm por base os Despachos da Entidade Reguladora dos Serviços Energéticos (ERSE) que podem ser consultados no site dessa entidade (www.erse.pt).</t>
  </si>
  <si>
    <t>&lt;2000kW</t>
  </si>
  <si>
    <t>Valor encargos potência (€/kVA)</t>
  </si>
  <si>
    <t>&lt;2000kVA</t>
  </si>
  <si>
    <t>&gt;=2000kVA</t>
  </si>
  <si>
    <t>Total &lt;2000kVA</t>
  </si>
  <si>
    <t>Total &gt;=2000kVA</t>
  </si>
  <si>
    <t>- Digite o valor da potência instalada (Pi)</t>
  </si>
  <si>
    <t>- O objetivo deste simulador é ajudar a perceber qual o custo estimado para a ligação de uma instalação particular à rede pública de energia eléctrica em média tensão (MT).</t>
  </si>
  <si>
    <t>Encargos com Uso Partilhado</t>
  </si>
  <si>
    <t>Valor dos Serviços de Ligação (€)</t>
  </si>
  <si>
    <t>Encargos com a comparticipação nas redes</t>
  </si>
  <si>
    <t>LA: 2000kW &lt;=Preq &lt;3000</t>
  </si>
  <si>
    <t>LS: 2000kW &lt;=Preq &lt;3000</t>
  </si>
  <si>
    <t>Preq &gt;3000kW</t>
  </si>
  <si>
    <t>Subterrânea</t>
  </si>
  <si>
    <t>Potência Requisitada</t>
  </si>
  <si>
    <t>Unidade: €/kVA</t>
  </si>
  <si>
    <t>Nível Tensão</t>
  </si>
  <si>
    <t>Pot. Requisitada</t>
  </si>
  <si>
    <t>Produtores</t>
  </si>
  <si>
    <t>Consumidores</t>
  </si>
  <si>
    <t>&lt; 2 MVA</t>
  </si>
  <si>
    <t>MT ≥ 2MVA</t>
  </si>
  <si>
    <t>(Parcela &lt; 2MVA)</t>
  </si>
  <si>
    <t>(Parcela ≥ 2MVA)</t>
  </si>
  <si>
    <t>Valor Comparticipação nas Redes</t>
  </si>
  <si>
    <t>Encargos com Serviços de Ligação</t>
  </si>
  <si>
    <t>2 MVA &lt;= MT &lt; 3 MVA</t>
  </si>
  <si>
    <t>Aérea</t>
  </si>
  <si>
    <t xml:space="preserve">MT </t>
  </si>
  <si>
    <t>&gt; 3 MVA</t>
  </si>
  <si>
    <t>ESLMT&lt;2MVA + (PR -2000) × (2,3 + DEL1 × 0,0024) + (DEL2) × 2,4</t>
  </si>
  <si>
    <t>ESLMT&lt;2MVA + (PR -2000) × (2,3 + DEL1 × 0,0012) + (DEL2) × 1,2</t>
  </si>
  <si>
    <t>Valor Serviços de Ligação</t>
  </si>
  <si>
    <t>SE(B4&lt;2000;J20;SE(E(B4&gt;=2000;B4&lt;3000;'Folha auxiliar'!K33&lt;&gt;"";'Folha auxiliar'!K34="");'Folha auxiliar'!J20+('Folha auxiliar'!B4-2000)*(2,3+DEL1*0,0024)+(DEL2)*2,4);)</t>
  </si>
  <si>
    <t>Verifica DEL 1 e DEL 2</t>
  </si>
  <si>
    <t>DEL 1</t>
  </si>
  <si>
    <t>DEL 2</t>
  </si>
  <si>
    <t>Verifica a topologia da linha</t>
  </si>
  <si>
    <t>Subterrânea, Aérea ou Subterrânea + Aérea</t>
  </si>
  <si>
    <t>SE(B4&lt;2000;J20;SE(E(B4&gt;=2000;B4&lt;3000;J30="Subterrânea");J20+(B4-2000)*(2,3+I27*0,0024)+J27*2,4;SE(E(B4&gt;=2000;B4&lt;3000;J30="Aérea");J20+(B4-2000)*(2,3+I27*0,0012)+J27*1,2;SE(E(B4&gt;=2000;B4&lt;3000;J30="Subterrânea + Aérea");(J20+(B4-2000)*(2,3+I27*0,0012)+J27*1,2)*'Simulador Orçamento MT'!K34/('Folha auxiliar'!I27+'Folha auxiliar'!J27);(J20+(B4-2000)*(2,3+I27*0,0024)+J27*2,4)*'Simulador Orçamento MT'!K33/('Folha auxiliar'!I27+'Folha auxiliar'!J27);SE(B4&gt;=3000;1629,66;""))</t>
  </si>
  <si>
    <t>Encargos com Fiscalização</t>
  </si>
  <si>
    <t>+ESLFISC</t>
  </si>
  <si>
    <t>Valor dos Serviços ligação com fiscalização (€)</t>
  </si>
  <si>
    <t>Valor dos Serviços ligação estimados (€)</t>
  </si>
  <si>
    <t>Nova Ligação</t>
  </si>
  <si>
    <t>%</t>
  </si>
  <si>
    <t>&lt;2500kVA</t>
  </si>
  <si>
    <t>Aumento de Potência</t>
  </si>
  <si>
    <t>DEL aéreo</t>
  </si>
  <si>
    <t>DEL subterrâneo</t>
  </si>
  <si>
    <t>&gt;=2000kW e &lt;3000kVA</t>
  </si>
  <si>
    <t>&gt;=2500kVA</t>
  </si>
  <si>
    <t>DEL Total</t>
  </si>
  <si>
    <t>&gt;3000kVA</t>
  </si>
  <si>
    <t>encargos com a comparticipação de redes [€] nova ligação</t>
  </si>
  <si>
    <t>DEL1</t>
  </si>
  <si>
    <t>DEL2</t>
  </si>
  <si>
    <t>encargos com a comparticipação de redes [€] aumento potência</t>
  </si>
  <si>
    <t xml:space="preserve">PROJECTO COM LICENCIAMENTO DE LINHA AÉREA E/OU SUBTERRÂNEA MT - válida nos preços não regulados </t>
  </si>
  <si>
    <t>PROJECTO
DE
LINHA</t>
  </si>
  <si>
    <t>VALOR VARIÁVEL</t>
  </si>
  <si>
    <t>QUANTIDADE</t>
  </si>
  <si>
    <t>LAMT [€/KM]</t>
  </si>
  <si>
    <t>LAMT [KM]</t>
  </si>
  <si>
    <t>LSMT [€/KM]</t>
  </si>
  <si>
    <t>LSMT [KM]</t>
  </si>
  <si>
    <t>(b1)</t>
  </si>
  <si>
    <t>(l1)</t>
  </si>
  <si>
    <t xml:space="preserve">(b2) </t>
  </si>
  <si>
    <t>(l2)</t>
  </si>
  <si>
    <t>TOTAL (l1 x b1 + l2 x b2)</t>
  </si>
  <si>
    <t>Calculo Valor dos serviços de ligação estimados</t>
  </si>
  <si>
    <t>Calculo Valor dos serviços de ligação com fiscalização</t>
  </si>
  <si>
    <t>Calculo comparticipações nas redes</t>
  </si>
  <si>
    <t>Calculo elementos de ligação regulados</t>
  </si>
  <si>
    <t>Projeto Linha MT</t>
  </si>
  <si>
    <t>Valor Orçamento &lt;2MVA</t>
  </si>
  <si>
    <t>- Digite a distância aproximada entre o ponto de ligação à rede e o ponto de entrega à sua instalação elétrica</t>
  </si>
  <si>
    <t>L. Subt.</t>
  </si>
  <si>
    <t>L. Aérea</t>
  </si>
  <si>
    <t>verificação anterior</t>
  </si>
  <si>
    <t>[m]</t>
  </si>
  <si>
    <t>- Digite o valor da potência a requisitar (≥ 75% da 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</si>
</sst>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6" formatCode="#,##0\ &quot;€&quot;"/>
    <numFmt numFmtId="167" formatCode=";;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3" fillId="0" borderId="0" xfId="0" quotePrefix="1" applyFont="1" applyAlignment="1">
      <alignment vertical="center" wrapText="1"/>
    </xf>
    <xf numFmtId="0" fontId="5" fillId="0" borderId="0" xfId="0" applyFont="1" applyAlignme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164" fontId="8" fillId="0" borderId="0" xfId="1" applyNumberFormat="1" applyFont="1" applyAlignment="1">
      <alignment horizontal="left"/>
    </xf>
    <xf numFmtId="44" fontId="8" fillId="0" borderId="0" xfId="1" applyFont="1" applyAlignment="1">
      <alignment horizontal="left"/>
    </xf>
    <xf numFmtId="0" fontId="3" fillId="0" borderId="0" xfId="1" applyNumberFormat="1" applyFont="1" applyAlignment="1">
      <alignment vertical="top" wrapText="1"/>
    </xf>
    <xf numFmtId="8" fontId="3" fillId="0" borderId="0" xfId="0" applyNumberFormat="1" applyFont="1" applyAlignment="1">
      <alignment horizontal="right" vertical="top" wrapText="1"/>
    </xf>
    <xf numFmtId="44" fontId="3" fillId="0" borderId="0" xfId="1" applyFont="1" applyAlignment="1">
      <alignment horizontal="right" vertical="top" wrapText="1"/>
    </xf>
    <xf numFmtId="0" fontId="3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NumberFormat="1" applyFont="1"/>
    <xf numFmtId="0" fontId="9" fillId="0" borderId="0" xfId="0" applyNumberFormat="1" applyFont="1" applyFill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center"/>
    </xf>
    <xf numFmtId="0" fontId="9" fillId="0" borderId="0" xfId="1" applyNumberFormat="1" applyFont="1"/>
    <xf numFmtId="0" fontId="9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1" xfId="0" applyNumberFormat="1" applyFont="1" applyFill="1" applyBorder="1"/>
    <xf numFmtId="0" fontId="9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quotePrefix="1" applyFont="1"/>
    <xf numFmtId="0" fontId="11" fillId="0" borderId="0" xfId="0" applyFont="1" applyAlignment="1">
      <alignment horizontal="left" vertical="center"/>
    </xf>
    <xf numFmtId="2" fontId="9" fillId="0" borderId="0" xfId="0" applyNumberFormat="1" applyFont="1" applyFill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Fill="1"/>
    <xf numFmtId="0" fontId="9" fillId="3" borderId="1" xfId="0" applyNumberFormat="1" applyFont="1" applyFill="1" applyBorder="1"/>
    <xf numFmtId="0" fontId="9" fillId="0" borderId="1" xfId="0" applyNumberFormat="1" applyFont="1" applyBorder="1"/>
    <xf numFmtId="0" fontId="9" fillId="0" borderId="1" xfId="0" applyNumberFormat="1" applyFont="1" applyFill="1" applyBorder="1" applyAlignment="1">
      <alignment wrapText="1"/>
    </xf>
    <xf numFmtId="0" fontId="9" fillId="0" borderId="3" xfId="0" applyNumberFormat="1" applyFont="1" applyFill="1" applyBorder="1"/>
    <xf numFmtId="0" fontId="9" fillId="0" borderId="4" xfId="0" applyNumberFormat="1" applyFont="1" applyFill="1" applyBorder="1"/>
    <xf numFmtId="0" fontId="9" fillId="0" borderId="4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3" borderId="7" xfId="0" applyNumberFormat="1" applyFont="1" applyFill="1" applyBorder="1"/>
    <xf numFmtId="0" fontId="9" fillId="0" borderId="6" xfId="0" applyNumberFormat="1" applyFont="1" applyBorder="1"/>
    <xf numFmtId="0" fontId="9" fillId="0" borderId="8" xfId="0" applyNumberFormat="1" applyFont="1" applyBorder="1"/>
    <xf numFmtId="0" fontId="9" fillId="0" borderId="9" xfId="0" applyNumberFormat="1" applyFont="1" applyBorder="1"/>
    <xf numFmtId="0" fontId="14" fillId="0" borderId="0" xfId="0" applyNumberFormat="1" applyFont="1" applyAlignment="1">
      <alignment horizontal="left"/>
    </xf>
    <xf numFmtId="0" fontId="9" fillId="0" borderId="3" xfId="0" applyNumberFormat="1" applyFont="1" applyBorder="1"/>
    <xf numFmtId="0" fontId="9" fillId="0" borderId="4" xfId="0" applyNumberFormat="1" applyFont="1" applyBorder="1"/>
    <xf numFmtId="0" fontId="9" fillId="3" borderId="4" xfId="0" applyNumberFormat="1" applyFont="1" applyFill="1" applyBorder="1"/>
    <xf numFmtId="0" fontId="9" fillId="3" borderId="5" xfId="0" applyNumberFormat="1" applyFont="1" applyFill="1" applyBorder="1"/>
    <xf numFmtId="0" fontId="9" fillId="0" borderId="10" xfId="0" applyNumberFormat="1" applyFont="1" applyBorder="1"/>
    <xf numFmtId="0" fontId="10" fillId="0" borderId="0" xfId="0" applyNumberFormat="1" applyFont="1"/>
    <xf numFmtId="0" fontId="9" fillId="0" borderId="0" xfId="0" applyNumberFormat="1" applyFont="1" applyFill="1" applyBorder="1"/>
    <xf numFmtId="2" fontId="9" fillId="0" borderId="0" xfId="0" applyNumberFormat="1" applyFont="1"/>
    <xf numFmtId="0" fontId="12" fillId="3" borderId="10" xfId="0" applyNumberFormat="1" applyFont="1" applyFill="1" applyBorder="1"/>
    <xf numFmtId="0" fontId="12" fillId="3" borderId="5" xfId="0" applyNumberFormat="1" applyFont="1" applyFill="1" applyBorder="1"/>
    <xf numFmtId="0" fontId="12" fillId="0" borderId="0" xfId="0" quotePrefix="1" applyNumberFormat="1" applyFont="1" applyFill="1" applyBorder="1"/>
    <xf numFmtId="0" fontId="9" fillId="4" borderId="0" xfId="0" applyNumberFormat="1" applyFont="1" applyFill="1"/>
    <xf numFmtId="0" fontId="12" fillId="0" borderId="0" xfId="0" applyNumberFormat="1" applyFont="1"/>
    <xf numFmtId="0" fontId="9" fillId="5" borderId="1" xfId="0" applyFont="1" applyFill="1" applyBorder="1"/>
    <xf numFmtId="0" fontId="9" fillId="0" borderId="0" xfId="0" applyFont="1"/>
    <xf numFmtId="0" fontId="9" fillId="6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0" xfId="0" applyFont="1"/>
    <xf numFmtId="4" fontId="0" fillId="0" borderId="0" xfId="0" applyNumberFormat="1"/>
    <xf numFmtId="0" fontId="15" fillId="0" borderId="0" xfId="0" applyFont="1" applyAlignment="1">
      <alignment horizontal="center"/>
    </xf>
    <xf numFmtId="0" fontId="0" fillId="6" borderId="0" xfId="0" applyFill="1"/>
    <xf numFmtId="0" fontId="10" fillId="0" borderId="0" xfId="0" applyFont="1"/>
    <xf numFmtId="165" fontId="0" fillId="0" borderId="0" xfId="2" applyNumberFormat="1" applyFont="1"/>
    <xf numFmtId="2" fontId="0" fillId="0" borderId="0" xfId="0" applyNumberFormat="1"/>
    <xf numFmtId="2" fontId="0" fillId="6" borderId="0" xfId="0" applyNumberFormat="1" applyFill="1"/>
    <xf numFmtId="4" fontId="9" fillId="0" borderId="1" xfId="0" applyNumberFormat="1" applyFont="1" applyBorder="1"/>
    <xf numFmtId="0" fontId="15" fillId="7" borderId="0" xfId="0" applyFont="1" applyFill="1"/>
    <xf numFmtId="0" fontId="0" fillId="7" borderId="0" xfId="0" applyFill="1"/>
    <xf numFmtId="0" fontId="15" fillId="0" borderId="17" xfId="0" applyFont="1" applyBorder="1"/>
    <xf numFmtId="0" fontId="0" fillId="0" borderId="18" xfId="0" applyBorder="1"/>
    <xf numFmtId="0" fontId="15" fillId="0" borderId="20" xfId="0" applyFont="1" applyBorder="1" applyAlignment="1">
      <alignment horizontal="center"/>
    </xf>
    <xf numFmtId="0" fontId="0" fillId="0" borderId="21" xfId="0" applyBorder="1"/>
    <xf numFmtId="0" fontId="15" fillId="0" borderId="1" xfId="0" applyFont="1" applyBorder="1" applyAlignment="1">
      <alignment horizontal="center"/>
    </xf>
    <xf numFmtId="0" fontId="15" fillId="0" borderId="16" xfId="0" quotePrefix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" fontId="0" fillId="0" borderId="19" xfId="0" applyNumberFormat="1" applyBorder="1"/>
    <xf numFmtId="2" fontId="0" fillId="6" borderId="19" xfId="0" applyNumberFormat="1" applyFill="1" applyBorder="1"/>
    <xf numFmtId="0" fontId="0" fillId="0" borderId="19" xfId="0" applyBorder="1"/>
    <xf numFmtId="2" fontId="0" fillId="6" borderId="21" xfId="0" applyNumberFormat="1" applyFill="1" applyBorder="1"/>
    <xf numFmtId="0" fontId="15" fillId="7" borderId="14" xfId="0" applyFont="1" applyFill="1" applyBorder="1"/>
    <xf numFmtId="0" fontId="15" fillId="7" borderId="15" xfId="0" applyFont="1" applyFill="1" applyBorder="1"/>
    <xf numFmtId="166" fontId="15" fillId="7" borderId="16" xfId="0" applyNumberFormat="1" applyFont="1" applyFill="1" applyBorder="1"/>
    <xf numFmtId="166" fontId="0" fillId="0" borderId="0" xfId="0" applyNumberFormat="1"/>
    <xf numFmtId="0" fontId="0" fillId="0" borderId="0" xfId="0" quotePrefix="1" applyFont="1" applyAlignment="1">
      <alignment horizontal="right"/>
    </xf>
    <xf numFmtId="0" fontId="3" fillId="0" borderId="0" xfId="0" quotePrefix="1" applyFont="1"/>
    <xf numFmtId="167" fontId="0" fillId="0" borderId="0" xfId="0" applyNumberFormat="1" applyFont="1"/>
    <xf numFmtId="167" fontId="12" fillId="0" borderId="0" xfId="0" applyNumberFormat="1" applyFont="1"/>
    <xf numFmtId="0" fontId="3" fillId="0" borderId="0" xfId="0" quotePrefix="1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2" fillId="8" borderId="0" xfId="0" applyFont="1" applyFill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 vertical="top" wrapText="1"/>
    </xf>
    <xf numFmtId="0" fontId="15" fillId="7" borderId="19" xfId="0" applyFont="1" applyFill="1" applyBorder="1" applyAlignment="1">
      <alignment horizontal="center" vertical="top"/>
    </xf>
    <xf numFmtId="0" fontId="15" fillId="7" borderId="20" xfId="0" applyFont="1" applyFill="1" applyBorder="1" applyAlignment="1">
      <alignment horizontal="center" vertical="top"/>
    </xf>
  </cellXfs>
  <cellStyles count="3">
    <cellStyle name="Moeda" xfId="1" builtinId="4"/>
    <cellStyle name="Normal" xfId="0" builtinId="0"/>
    <cellStyle name="Percentagem" xfId="2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474345</xdr:colOff>
      <xdr:row>9</xdr:row>
      <xdr:rowOff>131793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013FFF-5404-48BA-B717-D5F337DC3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63340" cy="18520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personal/e337779_edp_pt/Documents/Desktop/Pasta%20ficheiros%20transitoprios/or&#231;amento%20MT%20acima%20de%202MVA%20(nova%20regulamenta&#231;&#227;o)%202020_v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para Condições iniciais"/>
      <sheetName val="aux condições ligação"/>
      <sheetName val="Dados para Orçamento"/>
      <sheetName val="Carta Condições Iniciais"/>
      <sheetName val="Carta Orçamento"/>
      <sheetName val="aux orçamento"/>
    </sheetNames>
    <sheetDataSet>
      <sheetData sheetId="0"/>
      <sheetData sheetId="1"/>
      <sheetData sheetId="2">
        <row r="5">
          <cell r="H5" t="str">
            <v>Nova Ligação</v>
          </cell>
        </row>
        <row r="9">
          <cell r="I9"/>
        </row>
        <row r="11">
          <cell r="I11"/>
        </row>
        <row r="26">
          <cell r="I26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62"/>
  <sheetViews>
    <sheetView showGridLines="0" showRowColHeaders="0" tabSelected="1" zoomScale="50" zoomScaleNormal="50" zoomScaleSheetLayoutView="100" workbookViewId="0">
      <selection activeCell="K33" sqref="K33"/>
    </sheetView>
  </sheetViews>
  <sheetFormatPr defaultRowHeight="15" x14ac:dyDescent="0.25"/>
  <cols>
    <col min="1" max="1" width="3.5703125" customWidth="1"/>
    <col min="3" max="3" width="14.85546875" customWidth="1"/>
    <col min="4" max="4" width="12.85546875" bestFit="1" customWidth="1"/>
    <col min="7" max="7" width="9.140625" customWidth="1"/>
    <col min="9" max="9" width="9.140625" customWidth="1"/>
    <col min="10" max="10" width="12.42578125" customWidth="1"/>
    <col min="11" max="11" width="25.42578125" customWidth="1"/>
    <col min="12" max="12" width="11.140625" bestFit="1" customWidth="1"/>
    <col min="13" max="13" width="19.140625" customWidth="1"/>
    <col min="14" max="14" width="12" customWidth="1"/>
  </cols>
  <sheetData>
    <row r="1" spans="1:44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4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4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4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44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44" ht="15.75" x14ac:dyDescent="0.25">
      <c r="A6" s="31"/>
      <c r="B6" s="31"/>
      <c r="C6" s="1"/>
      <c r="D6" s="1"/>
      <c r="E6" s="1"/>
      <c r="F6" s="1"/>
      <c r="G6" s="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44" ht="15.75" x14ac:dyDescent="0.25">
      <c r="A7" s="31"/>
      <c r="B7" s="31"/>
      <c r="C7" s="1"/>
      <c r="D7" s="1"/>
      <c r="E7" s="1"/>
      <c r="F7" s="1"/>
      <c r="G7" s="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44" ht="15.75" x14ac:dyDescent="0.25">
      <c r="A8" s="31"/>
      <c r="B8" s="31"/>
      <c r="C8" s="1"/>
      <c r="D8" s="1"/>
      <c r="E8" s="1"/>
      <c r="F8" s="1"/>
      <c r="G8" s="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44" ht="15.75" x14ac:dyDescent="0.25">
      <c r="A9" s="31"/>
      <c r="B9" s="31"/>
      <c r="C9" s="1"/>
      <c r="D9" s="1"/>
      <c r="E9" s="1"/>
      <c r="F9" s="1"/>
      <c r="G9" s="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ht="15.75" x14ac:dyDescent="0.25">
      <c r="A10" s="31"/>
      <c r="B10" s="31"/>
      <c r="C10" s="1"/>
      <c r="D10" s="1"/>
      <c r="E10" s="1"/>
      <c r="F10" s="1"/>
      <c r="G10" s="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ht="26.25" x14ac:dyDescent="0.4">
      <c r="A12" s="98" t="s">
        <v>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5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ht="15.75" x14ac:dyDescent="0.25">
      <c r="A13" s="31"/>
      <c r="B13" s="31"/>
      <c r="C13" s="1"/>
      <c r="D13" s="1"/>
      <c r="E13" s="1"/>
      <c r="F13" s="1"/>
      <c r="G13" s="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ht="15.75" x14ac:dyDescent="0.25">
      <c r="A14" s="31"/>
      <c r="B14" s="31"/>
      <c r="C14" s="1"/>
      <c r="D14" s="1"/>
      <c r="E14" s="1"/>
      <c r="F14" s="1"/>
      <c r="G14" s="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ht="15.75" x14ac:dyDescent="0.25">
      <c r="A15" s="31"/>
      <c r="B15" s="31"/>
      <c r="C15" s="1"/>
      <c r="D15" s="1"/>
      <c r="E15" s="1"/>
      <c r="F15" s="1"/>
      <c r="G15" s="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ht="15.75" x14ac:dyDescent="0.25">
      <c r="A16" s="31"/>
      <c r="B16" s="31"/>
      <c r="C16" s="1"/>
      <c r="D16" s="1"/>
      <c r="E16" s="1"/>
      <c r="F16" s="1"/>
      <c r="G16" s="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ht="19.5" x14ac:dyDescent="0.3">
      <c r="A17" s="31"/>
      <c r="B17" s="3" t="s">
        <v>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ht="19.5" x14ac:dyDescent="0.3">
      <c r="A18" s="31"/>
      <c r="B18" s="3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ht="39" customHeight="1" x14ac:dyDescent="0.25">
      <c r="A19" s="31"/>
      <c r="B19" s="97" t="s">
        <v>13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4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ht="8.4499999999999993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ht="45" customHeight="1" x14ac:dyDescent="0.25">
      <c r="A21" s="31"/>
      <c r="B21" s="97" t="s">
        <v>22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4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ht="8.4499999999999993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ht="45" customHeight="1" x14ac:dyDescent="0.25">
      <c r="A23" s="31"/>
      <c r="B23" s="97" t="s">
        <v>14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4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ht="20.100000000000001" customHeight="1" x14ac:dyDescent="0.25">
      <c r="A27" s="31"/>
      <c r="B27" s="4"/>
      <c r="C27" s="97" t="s">
        <v>21</v>
      </c>
      <c r="D27" s="97"/>
      <c r="E27" s="97"/>
      <c r="F27" s="97"/>
      <c r="G27" s="97"/>
      <c r="H27" s="97"/>
      <c r="I27" s="4"/>
      <c r="J27" s="31"/>
      <c r="K27" s="10">
        <v>42</v>
      </c>
      <c r="L27" s="4" t="s">
        <v>10</v>
      </c>
      <c r="M27" s="4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ht="20.100000000000001" customHeight="1" x14ac:dyDescent="0.25">
      <c r="A29" s="31"/>
      <c r="B29" s="31"/>
      <c r="C29" s="97" t="s">
        <v>98</v>
      </c>
      <c r="D29" s="97"/>
      <c r="E29" s="97"/>
      <c r="F29" s="97"/>
      <c r="G29" s="97"/>
      <c r="H29" s="97"/>
      <c r="I29" s="31"/>
      <c r="J29" s="31"/>
      <c r="K29" s="10">
        <v>42</v>
      </c>
      <c r="L29" s="4" t="s">
        <v>10</v>
      </c>
      <c r="M29" s="31"/>
      <c r="N29" s="31"/>
      <c r="O29" s="31"/>
      <c r="P29" s="61"/>
      <c r="Q29" s="61"/>
      <c r="R29" s="61"/>
      <c r="S29" s="61"/>
      <c r="T29" s="61"/>
      <c r="U29" s="61"/>
      <c r="V29" s="6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61"/>
      <c r="Q30" s="61"/>
      <c r="R30" s="61"/>
      <c r="S30" s="61"/>
      <c r="T30" s="61"/>
      <c r="U30" s="61"/>
      <c r="V30" s="6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ht="18.75" x14ac:dyDescent="0.3">
      <c r="A31" s="31"/>
      <c r="B31" s="31"/>
      <c r="C31" s="97" t="s">
        <v>93</v>
      </c>
      <c r="D31" s="97"/>
      <c r="E31" s="97"/>
      <c r="F31" s="97"/>
      <c r="G31" s="97"/>
      <c r="H31" s="97"/>
      <c r="I31" s="97"/>
      <c r="J31" s="93" t="s">
        <v>94</v>
      </c>
      <c r="K31" s="10">
        <v>20</v>
      </c>
      <c r="L31" s="94" t="s">
        <v>97</v>
      </c>
      <c r="M31" s="95" t="str">
        <f>IF(AND($K$27&lt;&gt;"",$K$29&lt;&gt;"",$K$29&gt;=2000,$O$31=TRUE)=TRUE,"ok","VER")</f>
        <v>VER</v>
      </c>
      <c r="N31" s="95" t="str">
        <f>IF(AND($K$27&lt;&gt;"",$K$29&lt;&gt;"",$K$29&lt;2000,$P$31&lt;&gt;"",$O$31=TRUE)=TRUE,"ok","VER")</f>
        <v>ok</v>
      </c>
      <c r="O31" s="95" t="b">
        <f>OR($K$31&lt;&gt;"",$K$32&lt;&gt;"")</f>
        <v>1</v>
      </c>
      <c r="P31" s="95" t="s">
        <v>96</v>
      </c>
      <c r="Q31" s="96"/>
      <c r="R31" s="61"/>
      <c r="S31" s="61"/>
      <c r="T31" s="61"/>
      <c r="U31" s="61"/>
      <c r="V31" s="6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ht="18.75" x14ac:dyDescent="0.3">
      <c r="A32" s="31"/>
      <c r="B32" s="31"/>
      <c r="C32" s="97"/>
      <c r="D32" s="97"/>
      <c r="E32" s="97"/>
      <c r="F32" s="97"/>
      <c r="G32" s="97"/>
      <c r="H32" s="97"/>
      <c r="I32" s="97"/>
      <c r="J32" s="93" t="s">
        <v>95</v>
      </c>
      <c r="K32" s="10">
        <v>10</v>
      </c>
      <c r="L32" s="94" t="s">
        <v>97</v>
      </c>
      <c r="M32" s="31"/>
      <c r="N32" s="31"/>
      <c r="O32" s="31"/>
      <c r="P32" s="61"/>
      <c r="Q32" s="61"/>
      <c r="R32" s="61"/>
      <c r="S32" s="61"/>
      <c r="T32" s="61"/>
      <c r="U32" s="61"/>
      <c r="V32" s="6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ht="23.25" customHeight="1" x14ac:dyDescent="0.25">
      <c r="A33" s="31"/>
      <c r="B33" s="31"/>
      <c r="C33" s="97"/>
      <c r="D33" s="97"/>
      <c r="E33" s="97"/>
      <c r="F33" s="97"/>
      <c r="G33" s="97"/>
      <c r="H33" s="97"/>
      <c r="I33" s="97"/>
      <c r="J33" s="31"/>
      <c r="K33" s="31"/>
      <c r="L33" s="31"/>
      <c r="M33" s="31"/>
      <c r="N33" s="31"/>
      <c r="O33" s="31"/>
      <c r="P33" s="61"/>
      <c r="Q33" s="61"/>
      <c r="R33" s="61"/>
      <c r="S33" s="61"/>
      <c r="T33" s="61"/>
      <c r="U33" s="61"/>
      <c r="V33" s="6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61"/>
      <c r="Q34" s="61"/>
      <c r="R34" s="61"/>
      <c r="S34" s="61"/>
      <c r="T34" s="61"/>
      <c r="U34" s="61"/>
      <c r="V34" s="6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ht="19.5" x14ac:dyDescent="0.3">
      <c r="A35" s="31"/>
      <c r="B35" s="31"/>
      <c r="C35" s="31"/>
      <c r="D35" s="31"/>
      <c r="E35" s="101" t="str">
        <f>IF(AND($K$27&lt;&gt;"",$K$29&lt;&gt;"",$P$31&lt;&gt;"",$O$31=TRUE,$N$31="ok"),"Valor estimado do orçamento:","")</f>
        <v>Valor estimado do orçamento:</v>
      </c>
      <c r="F35" s="101"/>
      <c r="G35" s="101"/>
      <c r="H35" s="101"/>
      <c r="I35" s="101"/>
      <c r="J35" s="7"/>
      <c r="K35" s="13">
        <f>IF(AND($K$27&lt;&gt;"",$K$29&lt;&gt;"",$P$31&lt;&gt;"",$O$31=TRUE,$N$31="ok"),'aux orçamento'!D40,"")</f>
        <v>2315.09</v>
      </c>
      <c r="L35" s="102" t="str">
        <f>IF(AND($K$27&lt;&gt;"",$K$29&lt;&gt;"",$P$31&lt;&gt;"",$K$31&lt;&gt;"",$N$31="ok"),"(valor sem IVA)","")</f>
        <v>(valor sem IVA)</v>
      </c>
      <c r="M35" s="102"/>
      <c r="N35" s="31"/>
      <c r="O35" s="31"/>
      <c r="P35" s="61"/>
      <c r="Q35" s="61"/>
      <c r="R35" s="61"/>
      <c r="S35" s="61"/>
      <c r="T35" s="61"/>
      <c r="U35" s="61"/>
      <c r="V35" s="6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ht="90.75" customHeight="1" x14ac:dyDescent="0.25">
      <c r="A36" s="31"/>
      <c r="B36" s="9" t="str">
        <f>IF($M$32="ok","Nota:","")</f>
        <v/>
      </c>
      <c r="C36" s="100" t="str">
        <f>IF($M$31="ok",CONCATENATE("Nos termos do Regulamento de Relações Comerciais do Setor Elétrico (RRC) a ligação à rede de distribuição de média tensão com potência requisitada igual ou superior a 2 MVA",", os custos associados são calculados com valores não regulados. ","Neste caso, o orçamento de rede só pode ser apresentado após fazer o pedido de requisição de ligação para análise e estudo técnico da solução a implementar no terreno.",),"")</f>
        <v/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31"/>
      <c r="O36" s="31"/>
      <c r="P36" s="61"/>
      <c r="Q36" s="61"/>
      <c r="R36" s="61"/>
      <c r="S36" s="61"/>
      <c r="T36" s="61"/>
      <c r="U36" s="61"/>
      <c r="V36" s="6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ht="19.5" x14ac:dyDescent="0.3">
      <c r="A37" s="31"/>
      <c r="B37" s="31"/>
      <c r="C37" s="31"/>
      <c r="D37" s="31"/>
      <c r="E37" s="27"/>
      <c r="F37" s="27"/>
      <c r="G37" s="27"/>
      <c r="H37" s="27"/>
      <c r="I37" s="27"/>
      <c r="J37" s="7"/>
      <c r="K37" s="12"/>
      <c r="L37" s="28"/>
      <c r="M37" s="28"/>
      <c r="N37" s="31"/>
      <c r="O37" s="31"/>
      <c r="P37" s="61"/>
      <c r="Q37" s="61"/>
      <c r="R37" s="61"/>
      <c r="S37" s="61"/>
      <c r="T37" s="61"/>
      <c r="U37" s="61"/>
      <c r="V37" s="6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ht="55.5" customHeight="1" x14ac:dyDescent="0.25">
      <c r="A38" s="31"/>
      <c r="B38" s="9" t="str">
        <f>IF($N$31="ok","Nota:","")</f>
        <v>Nota:</v>
      </c>
      <c r="C38" s="100" t="str">
        <f>IF($N$31="ok",CONCATENATE("Esta estimativa incorpora:"),IF($M$31="ok","Assim o orçamento contemplará:",""))</f>
        <v>Esta estimativa incorpora: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31"/>
      <c r="O38" s="31"/>
      <c r="P38" s="61"/>
      <c r="Q38" s="61"/>
      <c r="R38" s="61"/>
      <c r="S38" s="61"/>
      <c r="T38" s="61"/>
      <c r="U38" s="61"/>
      <c r="V38" s="6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ht="24.95" customHeight="1" x14ac:dyDescent="0.25">
      <c r="A39" s="31"/>
      <c r="B39" s="31"/>
      <c r="C39" s="18" t="str">
        <f>IF($N$31="ok"," ▪ Encargos relativos aos serviços de ligação (artigo 138º do RRC).",IF($M$31="ok"," ▪ Encargos relativos aos serviços de ligação (artigo 120º do RRC).",""))</f>
        <v xml:space="preserve"> ▪ Encargos relativos aos serviços de ligação (artigo 138º do RRC).</v>
      </c>
      <c r="D39" s="18"/>
      <c r="E39" s="18"/>
      <c r="F39" s="18"/>
      <c r="G39" s="18"/>
      <c r="H39" s="18"/>
      <c r="I39" s="18"/>
      <c r="J39" s="18"/>
      <c r="K39" s="15">
        <f>IF(OR($N$31="ok",$M$31="ok"),'aux orçamento'!D32,"")</f>
        <v>498.97</v>
      </c>
      <c r="L39" s="6" t="str">
        <f>IF(OR($N$31="ok",$M$31="ok"),"(*)","")</f>
        <v>(*)</v>
      </c>
      <c r="M39" s="6"/>
      <c r="N39" s="31"/>
      <c r="O39" s="31"/>
      <c r="P39" s="61"/>
      <c r="Q39" s="61"/>
      <c r="R39" s="61"/>
      <c r="S39" s="61"/>
      <c r="T39" s="61"/>
      <c r="U39" s="61"/>
      <c r="V39" s="6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 ht="24.95" customHeight="1" x14ac:dyDescent="0.25">
      <c r="A40" s="31"/>
      <c r="B40" s="31"/>
      <c r="C40" s="17" t="str">
        <f>IF($N$31="ok"," ▪ Encargos com a comparticipação de redes (artigo 136º do RRC);",IF($M$31="ok"," ▪ Encargos com a comparticipação de redes (artigo 116º do RRC).",""))</f>
        <v xml:space="preserve"> ▪ Encargos com a comparticipação de redes (artigo 136º do RRC);</v>
      </c>
      <c r="D40" s="17"/>
      <c r="E40" s="17"/>
      <c r="F40" s="17"/>
      <c r="G40" s="17"/>
      <c r="H40" s="17"/>
      <c r="I40" s="17"/>
      <c r="J40" s="17"/>
      <c r="K40" s="16">
        <f>IF($N$31="ok",'aux orçamento'!D34,IF($M$31="ok",'aux orçamento'!D34,""))</f>
        <v>470.82000000000005</v>
      </c>
      <c r="L40" s="14"/>
      <c r="M40" s="14"/>
      <c r="N40" s="31"/>
      <c r="O40" s="31"/>
      <c r="P40" s="32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4" ht="40.5" customHeight="1" x14ac:dyDescent="0.25">
      <c r="A41" s="31"/>
      <c r="B41" s="31"/>
      <c r="C41" s="99" t="str">
        <f>IF($N$31="ok"," ▪  Valor estimado de encargos com o ramal para uso partilhado (artigo 130º do RRC);",IF($M$31="ok"," ▪ Valor a calcular de acordo com o estudo técnico para os encargos com o ramal de uso partilhado",""))</f>
        <v xml:space="preserve"> ▪  Valor estimado de encargos com o ramal para uso partilhado (artigo 130º do RRC);</v>
      </c>
      <c r="D41" s="99"/>
      <c r="E41" s="99"/>
      <c r="F41" s="99"/>
      <c r="G41" s="99"/>
      <c r="H41" s="99"/>
      <c r="I41" s="99"/>
      <c r="J41" s="99"/>
      <c r="K41" s="16">
        <f>IF($N$31="ok",'aux orçamento'!D36,IF($M$31="ok","(a definir)",""))</f>
        <v>1345.3</v>
      </c>
      <c r="L41" s="6"/>
      <c r="M41" s="6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4" ht="18.75" x14ac:dyDescent="0.25">
      <c r="A42" s="31"/>
      <c r="B42" s="3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 ht="18.75" x14ac:dyDescent="0.25">
      <c r="A43" s="31"/>
      <c r="B43" s="31"/>
      <c r="C43" s="100" t="str">
        <f>IF(OR($N$31="ok",$M$31="ok")," (*) O valor dos encargos de serviços de ligação terá de ser pago no acto de solicitação do PLR.","")</f>
        <v xml:space="preserve"> (*) O valor dos encargos de serviços de ligação terá de ser pago no acto de solicitação do PLR.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1:44" ht="96.75" customHeight="1" x14ac:dyDescent="0.25">
      <c r="A45" s="31"/>
      <c r="B45" s="100" t="str">
        <f>IF($N$31="ok",CONCATENATE("O valor estimado é baseado apenas nos elementos fornecidos pelo requisitante,"," deve ter-se em atenção que os dados técnicos de viabilidade no terreno podem ser diferentes, assim como podem surgir eventuais encargos com taxas de"," licenciamento dos elementos de ligação a construir, indemnização de proprietários de terrenos atravessados pelas linhas ou valores devidos pela emissão de pareceres",", licenças ou garantias que sejam necessárias para o mesmo fim, os quais são da responsabilidade do requisitante."),IF($M$31="ok",CONCATENATE("Para obter mais esclarecimentos ou informações de como poderá solicitar uma requisição de ligação à rede MT,"," , contacte-nos através dos seguintes canais: Gestor de Cliente | E-Mail: PLRMT@E-REDES.PT | Linha Empresarial: 800 912 912 (dias úteis das 08-20h) | Site: www.e-redes.pt"),""))</f>
        <v>O valor estimado é baseado apenas nos elementos fornecidos pelo requisitante, deve ter-se em atenção que os dados técnicos de viabilidade no terreno podem ser diferentes, assim como podem surgir eventuais encargos com taxas de licenciamento dos elementos de ligação a construir, indemnização de proprietários de terrenos atravessados pelas linhas ou valores devidos pela emissão de pareceres, licenças ou garantias que sejam necessárias para o mesmo fim, os quais são da responsabilidade do requisitante.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4" ht="61.5" customHeight="1" x14ac:dyDescent="0.25">
      <c r="A47" s="31"/>
      <c r="B47" s="100" t="str">
        <f>IF($N$31="ok",CONCATENATE("Para obter mais esclarecimentos ou informações de como poderá solicitar uma requisição de ligação à rede MT,"," , contacte-nos através dos seguintes canais: Gestor de Cliente | E-Mail: PLRMT@E-REDES.PT | Linha Empresarial: 800 912 912 (dias úteis das 08-20h) | Site: www.e-redes.pt"),"")</f>
        <v>Para obter mais esclarecimentos ou informações de como poderá solicitar uma requisição de ligação à rede MT, , contacte-nos através dos seguintes canais: Gestor de Cliente | E-Mail: PLRMT@E-REDES.PT | Linha Empresarial: 800 912 912 (dias úteis das 08-20h) | Site: www.e-redes.pt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4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1:44" ht="23.25" customHeight="1" x14ac:dyDescent="0.25">
      <c r="A49" s="31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1:44" ht="18" customHeight="1" x14ac:dyDescent="0.25">
      <c r="A50" s="3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1:44" ht="19.5" customHeight="1" x14ac:dyDescent="0.25">
      <c r="A51" s="3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1:44" ht="18.75" customHeight="1" x14ac:dyDescent="0.25">
      <c r="A52" s="3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1:44" ht="22.5" customHeight="1" x14ac:dyDescent="0.25">
      <c r="A53" s="3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 ht="36" customHeight="1" x14ac:dyDescent="0.25">
      <c r="A54" s="3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1:44" ht="36.75" customHeight="1" x14ac:dyDescent="0.25">
      <c r="A55" s="3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31"/>
      <c r="O55" s="31"/>
      <c r="P55" s="31"/>
      <c r="Q55" s="31"/>
      <c r="R55" s="31"/>
      <c r="S55" s="31"/>
      <c r="T55" s="31"/>
      <c r="U55" s="31"/>
    </row>
    <row r="56" spans="1:44" ht="15" customHeight="1" x14ac:dyDescent="0.25">
      <c r="A56" s="3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31"/>
      <c r="O56" s="31"/>
      <c r="P56" s="31"/>
      <c r="Q56" s="31"/>
      <c r="R56" s="31"/>
      <c r="S56" s="31"/>
      <c r="T56" s="31"/>
      <c r="U56" s="31"/>
    </row>
    <row r="57" spans="1:44" ht="18.75" x14ac:dyDescent="0.3">
      <c r="A57" s="31"/>
      <c r="B57" s="31"/>
      <c r="C57" s="31"/>
      <c r="D57" s="11"/>
      <c r="E57" s="11"/>
      <c r="F57" s="11"/>
      <c r="G57" s="11"/>
      <c r="H57" s="8"/>
      <c r="I57" s="8"/>
      <c r="J57" s="2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44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44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4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4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1:4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</sheetData>
  <sheetProtection selectLockedCells="1"/>
  <protectedRanges>
    <protectedRange sqref="K31:K32" name="Range2"/>
    <protectedRange sqref="K27" name="Range1"/>
  </protectedRanges>
  <dataConsolidate/>
  <mergeCells count="16">
    <mergeCell ref="C41:J41"/>
    <mergeCell ref="B49:M49"/>
    <mergeCell ref="B47:M47"/>
    <mergeCell ref="C31:I33"/>
    <mergeCell ref="C38:M38"/>
    <mergeCell ref="E35:I35"/>
    <mergeCell ref="L35:M35"/>
    <mergeCell ref="B45:M45"/>
    <mergeCell ref="C43:M43"/>
    <mergeCell ref="C36:M36"/>
    <mergeCell ref="C29:H29"/>
    <mergeCell ref="A12:N12"/>
    <mergeCell ref="B19:M19"/>
    <mergeCell ref="B21:M21"/>
    <mergeCell ref="B23:M23"/>
    <mergeCell ref="C27:H27"/>
  </mergeCells>
  <conditionalFormatting sqref="D57 H57 J57">
    <cfRule type="expression" dxfId="0" priority="37" stopIfTrue="1">
      <formula>IF($K$35="",TRUE,FALSE)</formula>
    </cfRule>
  </conditionalFormatting>
  <dataValidations count="3">
    <dataValidation type="decimal" allowBlank="1" showErrorMessage="1" errorTitle="Dados inválidos" promptTitle="Informação" prompt="Responda Sim ou Não" sqref="K27" xr:uid="{00000000-0002-0000-0000-000000000000}">
      <formula1>IF($K$29="",0,$K$29)</formula1>
      <formula2>IF($K$29="",150000,1/0.75*$K$29)</formula2>
    </dataValidation>
    <dataValidation type="decimal" operator="greaterThanOrEqual" allowBlank="1" showInputMessage="1" showErrorMessage="1" errorTitle="Dados incorrectos" error="Deverá digitar um número positivo" sqref="K31:K32" xr:uid="{00000000-0002-0000-0000-000002000000}">
      <formula1>0</formula1>
    </dataValidation>
    <dataValidation type="decimal" allowBlank="1" showInputMessage="1" showErrorMessage="1" errorTitle="Dados inválidos" error="Deverá digitar como valor mínimo, 75% da potência instalada, ou no máximo o valor da potência instalada, de acordo com o artigo 105.º do Regulamento de Relações Comerciais do Setor Elétrico (RRC)." sqref="K29" xr:uid="{00000000-0002-0000-0000-000003000000}">
      <formula1>K27*0.75</formula1>
      <formula2>K27</formula2>
    </dataValidation>
  </dataValidations>
  <pageMargins left="0.70866141732283472" right="0.70866141732283472" top="0.39370078740157483" bottom="0.19685039370078741" header="0.31496062992125984" footer="0.31496062992125984"/>
  <pageSetup paperSize="9" scale="52" fitToHeight="0" orientation="portrait" r:id="rId1"/>
  <headerFooter>
    <oddFooter>&amp;RPag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45"/>
  <sheetViews>
    <sheetView topLeftCell="A10" zoomScaleNormal="100" workbookViewId="0">
      <selection activeCell="J15" sqref="J15"/>
    </sheetView>
  </sheetViews>
  <sheetFormatPr defaultColWidth="9.140625" defaultRowHeight="15" x14ac:dyDescent="0.25"/>
  <cols>
    <col min="1" max="1" width="9.140625" style="19" customWidth="1"/>
    <col min="2" max="2" width="25.5703125" style="19" customWidth="1"/>
    <col min="3" max="3" width="23.42578125" style="19" customWidth="1"/>
    <col min="4" max="4" width="55.85546875" style="19" customWidth="1"/>
    <col min="5" max="5" width="14.85546875" style="19" customWidth="1"/>
    <col min="6" max="6" width="31.5703125" style="19" bestFit="1" customWidth="1"/>
    <col min="7" max="7" width="2.5703125" style="19" customWidth="1"/>
    <col min="8" max="8" width="31.42578125" style="19" customWidth="1"/>
    <col min="9" max="9" width="23.42578125" style="19" bestFit="1" customWidth="1"/>
    <col min="10" max="10" width="56.42578125" style="19" bestFit="1" customWidth="1"/>
    <col min="11" max="11" width="30" style="19" bestFit="1" customWidth="1"/>
    <col min="12" max="12" width="19.85546875" style="19" customWidth="1"/>
    <col min="13" max="13" width="13.5703125" style="19" customWidth="1"/>
    <col min="14" max="14" width="22" style="19" customWidth="1"/>
    <col min="15" max="15" width="9.140625" style="19" customWidth="1"/>
    <col min="16" max="16" width="27" style="19" customWidth="1"/>
    <col min="17" max="17" width="12" style="19" customWidth="1"/>
    <col min="18" max="16384" width="9.140625" style="19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105" t="s">
        <v>23</v>
      </c>
      <c r="L1" s="105"/>
      <c r="M1" s="105"/>
      <c r="N1" s="105"/>
      <c r="O1" s="20"/>
    </row>
    <row r="2" spans="1:17" ht="27.75" customHeight="1" x14ac:dyDescent="0.25">
      <c r="A2" s="20"/>
      <c r="B2" s="20"/>
      <c r="C2" s="20"/>
      <c r="D2" s="20"/>
      <c r="E2" s="20"/>
      <c r="F2" s="103" t="s">
        <v>11</v>
      </c>
      <c r="G2" s="103"/>
      <c r="H2" s="103"/>
      <c r="I2" s="20"/>
      <c r="J2" s="20"/>
      <c r="K2" s="21" t="s">
        <v>1</v>
      </c>
      <c r="L2" s="22" t="s">
        <v>2</v>
      </c>
      <c r="M2" s="22" t="s">
        <v>3</v>
      </c>
      <c r="N2" s="22" t="s">
        <v>4</v>
      </c>
      <c r="O2" s="20"/>
    </row>
    <row r="3" spans="1:17" x14ac:dyDescent="0.25">
      <c r="A3" s="20"/>
      <c r="B3" s="20" t="s">
        <v>30</v>
      </c>
      <c r="C3" s="20"/>
      <c r="D3" s="20"/>
      <c r="E3" s="20"/>
      <c r="F3" s="29" t="s">
        <v>24</v>
      </c>
      <c r="G3" s="23"/>
      <c r="H3" s="23" t="s">
        <v>16</v>
      </c>
      <c r="I3" s="20"/>
      <c r="J3" s="20"/>
      <c r="K3" s="23" t="s">
        <v>11</v>
      </c>
      <c r="L3" s="24" t="s">
        <v>12</v>
      </c>
      <c r="M3" s="23">
        <v>25.53</v>
      </c>
      <c r="N3" s="23">
        <v>54.5</v>
      </c>
      <c r="O3" s="20"/>
      <c r="P3" s="25" t="s">
        <v>5</v>
      </c>
      <c r="Q3" s="19">
        <f>ROUND('Simulador Orçamento MT'!$K$29,0)</f>
        <v>42</v>
      </c>
    </row>
    <row r="4" spans="1:17" x14ac:dyDescent="0.25">
      <c r="A4" s="20"/>
      <c r="B4" s="34">
        <f>'Simulador Orçamento MT'!K29</f>
        <v>42</v>
      </c>
      <c r="C4" s="20"/>
      <c r="D4" s="20"/>
      <c r="E4" s="20"/>
      <c r="F4" s="30">
        <v>492.06</v>
      </c>
      <c r="G4" s="23"/>
      <c r="H4" s="30">
        <v>11.06</v>
      </c>
      <c r="I4" s="20" t="s">
        <v>15</v>
      </c>
      <c r="J4" s="20"/>
      <c r="L4" s="20"/>
      <c r="M4" s="20"/>
      <c r="N4" s="20"/>
      <c r="O4" s="20"/>
    </row>
    <row r="5" spans="1:17" x14ac:dyDescent="0.25">
      <c r="A5" s="20"/>
      <c r="C5" s="20"/>
      <c r="D5" s="20"/>
      <c r="E5" s="20"/>
      <c r="F5" s="33">
        <f>F4 + ('Simulador Orçamento MT'!K27 -2000)*(2.3 + 'Simulador Orçamento MT'!K32*0.0012) + (1)*1.2</f>
        <v>-4033.636</v>
      </c>
      <c r="G5" s="23"/>
      <c r="H5" s="24">
        <v>58.51</v>
      </c>
      <c r="I5" s="20" t="s">
        <v>26</v>
      </c>
      <c r="J5" s="20"/>
      <c r="L5" s="20"/>
      <c r="M5" s="20"/>
      <c r="N5" s="20"/>
      <c r="O5" s="20"/>
      <c r="P5" s="19" t="s">
        <v>6</v>
      </c>
      <c r="Q5" s="19">
        <f>IF('Simulador Orçamento MT'!$P$31="Aérea",'Folha auxiliar - old'!$M$3,'Folha auxiliar - old'!$N$3)</f>
        <v>54.5</v>
      </c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 t="s">
        <v>27</v>
      </c>
      <c r="J6" s="20"/>
      <c r="K6" s="20"/>
      <c r="L6" s="20"/>
      <c r="M6" s="20"/>
      <c r="N6" s="20"/>
      <c r="O6" s="20"/>
    </row>
    <row r="7" spans="1:17" x14ac:dyDescent="0.25">
      <c r="A7" s="20"/>
      <c r="B7" s="20"/>
      <c r="C7" s="20"/>
      <c r="D7" s="20"/>
      <c r="E7" s="20"/>
      <c r="F7" s="20"/>
      <c r="G7" s="20"/>
      <c r="H7" s="20"/>
      <c r="I7" s="20" t="s">
        <v>28</v>
      </c>
      <c r="J7" s="20"/>
      <c r="K7" s="20"/>
      <c r="L7" s="20"/>
      <c r="M7" s="20"/>
      <c r="N7" s="20"/>
      <c r="O7" s="20"/>
      <c r="P7" s="19" t="s">
        <v>7</v>
      </c>
      <c r="Q7" s="19">
        <f>ROUND('Simulador Orçamento MT'!$K$31,0)</f>
        <v>20</v>
      </c>
    </row>
    <row r="8" spans="1:17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x14ac:dyDescent="0.25">
      <c r="A9" s="20"/>
      <c r="B9" s="20"/>
      <c r="C9" s="20"/>
      <c r="D9" s="20"/>
      <c r="E9" s="23"/>
      <c r="F9" s="104" t="s">
        <v>25</v>
      </c>
      <c r="G9" s="104"/>
      <c r="H9" s="104"/>
      <c r="I9" s="20"/>
      <c r="J9" s="20"/>
      <c r="K9" s="20"/>
      <c r="L9" s="20"/>
      <c r="M9" s="20"/>
      <c r="N9" s="20"/>
      <c r="O9" s="20"/>
      <c r="P9" s="19" t="s">
        <v>8</v>
      </c>
      <c r="Q9" s="25">
        <f>Q7*Q5</f>
        <v>1090</v>
      </c>
    </row>
    <row r="10" spans="1:17" x14ac:dyDescent="0.25">
      <c r="A10" s="20"/>
      <c r="B10" s="20"/>
      <c r="C10" s="20"/>
      <c r="D10" s="20"/>
      <c r="E10" s="23"/>
      <c r="F10" s="23" t="s">
        <v>17</v>
      </c>
      <c r="G10" s="23"/>
      <c r="H10" s="23" t="s">
        <v>18</v>
      </c>
      <c r="I10" s="20"/>
      <c r="J10" s="20"/>
      <c r="K10" s="20"/>
      <c r="L10" s="20"/>
      <c r="M10" s="20"/>
      <c r="N10" s="20"/>
      <c r="O10" s="20"/>
    </row>
    <row r="11" spans="1:17" x14ac:dyDescent="0.25">
      <c r="A11" s="20"/>
      <c r="B11" s="20"/>
      <c r="C11" s="20"/>
      <c r="D11" s="20"/>
      <c r="E11" s="23">
        <f>IF($Q$3&lt;2000,$Q$3,1999)</f>
        <v>42</v>
      </c>
      <c r="F11" s="23">
        <f>$H$4*$E$11</f>
        <v>464.52000000000004</v>
      </c>
      <c r="G11" s="23"/>
      <c r="H11" s="23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0"/>
      <c r="C12" s="20"/>
      <c r="D12" s="20"/>
      <c r="E12" s="23">
        <f>IF($Q$3&gt;=2000,$Q$3-1999,0)</f>
        <v>0</v>
      </c>
      <c r="F12" s="23"/>
      <c r="G12" s="23"/>
      <c r="H12" s="23">
        <f>$E$12*$H$5</f>
        <v>0</v>
      </c>
      <c r="I12" s="20"/>
      <c r="J12" s="20"/>
      <c r="K12" s="20"/>
      <c r="L12" s="20"/>
      <c r="M12" s="20"/>
      <c r="N12" s="20"/>
      <c r="O12" s="20"/>
    </row>
    <row r="13" spans="1:17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7" x14ac:dyDescent="0.25">
      <c r="A14" s="20"/>
      <c r="B14" s="20"/>
      <c r="C14" s="20"/>
      <c r="D14" s="20"/>
      <c r="E14" s="20" t="s">
        <v>19</v>
      </c>
      <c r="F14" s="23">
        <f>$F$11</f>
        <v>464.52000000000004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7" x14ac:dyDescent="0.25">
      <c r="A15" s="20"/>
      <c r="B15" s="20"/>
      <c r="C15" s="20"/>
      <c r="D15" s="20"/>
      <c r="E15" s="20" t="s">
        <v>20</v>
      </c>
      <c r="F15" s="23">
        <f>$F$11+$H$12</f>
        <v>464.52000000000004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7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A17" s="20"/>
      <c r="B17" s="2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 customHeight="1" x14ac:dyDescent="0.25">
      <c r="A18" s="20"/>
      <c r="B18" s="107" t="s">
        <v>25</v>
      </c>
      <c r="C18" s="107"/>
      <c r="D18" s="107"/>
      <c r="E18" s="107"/>
      <c r="F18" s="20"/>
      <c r="G18" s="20"/>
      <c r="H18" s="107" t="s">
        <v>41</v>
      </c>
      <c r="I18" s="107"/>
      <c r="J18" s="107"/>
      <c r="K18" s="107"/>
      <c r="L18" s="20"/>
      <c r="M18" s="20"/>
      <c r="N18" s="20"/>
      <c r="O18" s="20"/>
    </row>
    <row r="19" spans="1:15" ht="15.75" thickBot="1" x14ac:dyDescent="0.3">
      <c r="A19" s="20"/>
      <c r="B19" s="20"/>
      <c r="C19" s="20"/>
      <c r="D19" s="20"/>
      <c r="E19" s="36" t="s">
        <v>31</v>
      </c>
      <c r="F19" s="20"/>
      <c r="G19" s="20"/>
      <c r="L19" s="20"/>
      <c r="M19" s="20"/>
      <c r="N19" s="20"/>
      <c r="O19" s="20"/>
    </row>
    <row r="20" spans="1:15" x14ac:dyDescent="0.25">
      <c r="A20" s="20"/>
      <c r="B20" s="40" t="s">
        <v>32</v>
      </c>
      <c r="C20" s="41" t="s">
        <v>33</v>
      </c>
      <c r="D20" s="42" t="s">
        <v>34</v>
      </c>
      <c r="E20" s="43" t="s">
        <v>35</v>
      </c>
      <c r="F20" s="20"/>
      <c r="G20" s="20"/>
      <c r="H20" s="49" t="s">
        <v>11</v>
      </c>
      <c r="I20" s="50" t="s">
        <v>36</v>
      </c>
      <c r="J20" s="58">
        <v>492.06</v>
      </c>
      <c r="K20" s="55"/>
      <c r="L20" s="20"/>
      <c r="M20" s="20"/>
      <c r="N20" s="20"/>
      <c r="O20" s="20"/>
    </row>
    <row r="21" spans="1:15" x14ac:dyDescent="0.25">
      <c r="B21" s="45" t="s">
        <v>11</v>
      </c>
      <c r="C21" s="38" t="s">
        <v>36</v>
      </c>
      <c r="D21" s="37">
        <v>11.06</v>
      </c>
      <c r="E21" s="44">
        <v>11.06</v>
      </c>
      <c r="H21" s="108" t="s">
        <v>42</v>
      </c>
      <c r="I21" s="39" t="s">
        <v>29</v>
      </c>
      <c r="J21" s="44" t="s">
        <v>46</v>
      </c>
      <c r="K21" s="55"/>
    </row>
    <row r="22" spans="1:15" x14ac:dyDescent="0.25">
      <c r="A22" s="20"/>
      <c r="B22" s="106" t="s">
        <v>37</v>
      </c>
      <c r="C22" s="39" t="s">
        <v>38</v>
      </c>
      <c r="D22" s="37">
        <v>11.06</v>
      </c>
      <c r="E22" s="44">
        <v>11.06</v>
      </c>
      <c r="F22" s="20"/>
      <c r="G22" s="20"/>
      <c r="H22" s="109"/>
      <c r="I22" s="38" t="s">
        <v>43</v>
      </c>
      <c r="J22" s="44" t="s">
        <v>47</v>
      </c>
      <c r="K22" s="55"/>
      <c r="L22" s="20"/>
      <c r="M22" s="20"/>
      <c r="N22" s="20"/>
      <c r="O22" s="20"/>
    </row>
    <row r="23" spans="1:15" ht="15.75" thickBot="1" x14ac:dyDescent="0.3">
      <c r="B23" s="106"/>
      <c r="C23" s="38" t="s">
        <v>39</v>
      </c>
      <c r="D23" s="37">
        <v>16.34</v>
      </c>
      <c r="E23" s="44">
        <v>7.16</v>
      </c>
      <c r="H23" s="46" t="s">
        <v>44</v>
      </c>
      <c r="I23" s="47" t="s">
        <v>45</v>
      </c>
      <c r="J23" s="57">
        <v>1629.66</v>
      </c>
      <c r="K23" s="59" t="s">
        <v>57</v>
      </c>
    </row>
    <row r="25" spans="1:15" ht="15.75" x14ac:dyDescent="0.25">
      <c r="A25" s="112" t="s">
        <v>40</v>
      </c>
      <c r="B25" s="112"/>
      <c r="C25" s="48">
        <f>IF(B4&lt;2000,B4*E21,1999*E22+(B4-1999)*E23)</f>
        <v>464.52000000000004</v>
      </c>
      <c r="H25" s="110" t="s">
        <v>50</v>
      </c>
      <c r="I25" s="110"/>
      <c r="J25" s="110"/>
      <c r="K25" s="110"/>
    </row>
    <row r="26" spans="1:15" x14ac:dyDescent="0.25">
      <c r="I26" s="19" t="s">
        <v>51</v>
      </c>
      <c r="J26" s="19" t="s">
        <v>52</v>
      </c>
    </row>
    <row r="27" spans="1:15" x14ac:dyDescent="0.25">
      <c r="I27" s="19">
        <f>IF('Simulador Orçamento MT'!K31+'Simulador Orçamento MT'!K32&lt;2000,'Simulador Orçamento MT'!K31+'Simulador Orçamento MT'!K32,2000)</f>
        <v>30</v>
      </c>
      <c r="J27" s="19">
        <f>IF('Simulador Orçamento MT'!K31+'Simulador Orçamento MT'!K32&gt;2000,'Simulador Orçamento MT'!K31+'Simulador Orçamento MT'!K32-2000,0)</f>
        <v>0</v>
      </c>
    </row>
    <row r="29" spans="1:15" ht="15.75" x14ac:dyDescent="0.25">
      <c r="B29" s="107" t="s">
        <v>41</v>
      </c>
      <c r="C29" s="107"/>
      <c r="D29" s="107"/>
      <c r="E29" s="107"/>
      <c r="H29" s="110" t="s">
        <v>53</v>
      </c>
      <c r="I29" s="110"/>
      <c r="J29" s="110"/>
      <c r="K29" s="110"/>
    </row>
    <row r="30" spans="1:15" ht="15.75" thickBot="1" x14ac:dyDescent="0.3">
      <c r="H30" s="111" t="s">
        <v>54</v>
      </c>
      <c r="I30" s="111"/>
      <c r="J30" s="35" t="str">
        <f>IF(AND('Simulador Orçamento MT'!K31&lt;&gt;"",'Simulador Orçamento MT'!K32=""),"Subterrânea",IF(AND('Simulador Orçamento MT'!K31="",'Simulador Orçamento MT'!K32&lt;&gt;""),"Aérea",IF(AND('Simulador Orçamento MT'!K31&lt;&gt;"",'Simulador Orçamento MT'!K32&lt;&gt;""),"Mista","")))</f>
        <v>Mista</v>
      </c>
    </row>
    <row r="31" spans="1:15" x14ac:dyDescent="0.25">
      <c r="B31" s="49" t="s">
        <v>11</v>
      </c>
      <c r="C31" s="50" t="s">
        <v>36</v>
      </c>
      <c r="D31" s="51">
        <v>492.06</v>
      </c>
      <c r="E31" s="52"/>
    </row>
    <row r="32" spans="1:15" x14ac:dyDescent="0.25">
      <c r="B32" s="106" t="s">
        <v>42</v>
      </c>
      <c r="C32" s="39" t="s">
        <v>29</v>
      </c>
      <c r="D32" s="37" t="s">
        <v>46</v>
      </c>
      <c r="E32" s="44"/>
    </row>
    <row r="33" spans="2:11" x14ac:dyDescent="0.25">
      <c r="B33" s="106"/>
      <c r="C33" s="38" t="s">
        <v>43</v>
      </c>
      <c r="D33" s="37">
        <v>16.34</v>
      </c>
      <c r="E33" s="44"/>
    </row>
    <row r="34" spans="2:11" ht="15.75" thickBot="1" x14ac:dyDescent="0.3">
      <c r="B34" s="46" t="s">
        <v>44</v>
      </c>
      <c r="C34" s="47" t="s">
        <v>45</v>
      </c>
      <c r="D34" s="47"/>
      <c r="E34" s="53"/>
    </row>
    <row r="35" spans="2:11" x14ac:dyDescent="0.25">
      <c r="H35" s="54" t="s">
        <v>48</v>
      </c>
    </row>
    <row r="36" spans="2:11" x14ac:dyDescent="0.25">
      <c r="I36" s="19" t="s">
        <v>49</v>
      </c>
    </row>
    <row r="38" spans="2:11" x14ac:dyDescent="0.25">
      <c r="I38" s="56">
        <f>IF(B4&lt;2000,J20,IF(AND(B4&gt;=2000,B4&lt;3000,J30="Subterrânea"),J20+(B4-2000)*(2.3+I27*0.0024)+J27*2.4,IF(AND(B4&gt;=2000,B4&lt;3000,J30="Aérea"),J20+(B4-2000)*(2.3+I27*0.0012)+J27*1.2,IF(AND(B4&gt;=2000,B4&lt;3000,J30="Subterrânea + Aérea"),(J20+(B4-2000)*(2.3+I27*0.0012)+J27*1.2)*'Simulador Orçamento MT'!K32/('Folha auxiliar - old'!I27+'Folha auxiliar - old'!J27),(J20+(B4-2000)*(2.3+I27*0.0024)+J27*2.4)*'Simulador Orçamento MT'!K31/('Folha auxiliar - old'!I27+'Folha auxiliar - old'!J27)))))</f>
        <v>492.06</v>
      </c>
    </row>
    <row r="39" spans="2:11" x14ac:dyDescent="0.25">
      <c r="I39" s="60">
        <f>IF(B4&lt;2000,J20,IF(AND(B4&gt;=2000,B4&lt;3000),(J20+(B4-2000)*(2.3+I27*0.0012)+J27*1.2)*'Simulador Orçamento MT'!K32/('Folha auxiliar - old'!I27+'Folha auxiliar - old'!J27)+(J20+(B4-2000)*(2.3+I27*0.0024)+J27*2.4)*'Simulador Orçamento MT'!K31/('Folha auxiliar - old'!I27+'Folha auxiliar - old'!J27),IF(B4&gt;3000,J23+I44,"")))</f>
        <v>492.06</v>
      </c>
    </row>
    <row r="40" spans="2:11" x14ac:dyDescent="0.25">
      <c r="I40" s="19" t="s">
        <v>55</v>
      </c>
    </row>
    <row r="43" spans="2:11" ht="15.75" x14ac:dyDescent="0.25">
      <c r="H43" s="107" t="s">
        <v>56</v>
      </c>
      <c r="I43" s="107"/>
      <c r="J43" s="107"/>
      <c r="K43" s="107"/>
    </row>
    <row r="45" spans="2:11" x14ac:dyDescent="0.25">
      <c r="H45" s="19" t="str">
        <f>IF(AND(B4&gt;=2000,B4&lt;3000,I38&gt;1629.66),I38-1629.66,"")</f>
        <v/>
      </c>
    </row>
  </sheetData>
  <sheetProtection algorithmName="SHA-512" hashValue="Y4tpMql1hhQA8t7vsp1u5KD6QkI5iohEo7Te/ATxJwfSwyEj5skvhDWRt+S3//tgObo26Mr/wQjlRqqiJoLraA==" saltValue="dTUy//kwBRsPJHObvWh6yw==" spinCount="100000" sheet="1" selectLockedCells="1"/>
  <mergeCells count="14">
    <mergeCell ref="H25:K25"/>
    <mergeCell ref="H29:K29"/>
    <mergeCell ref="H30:I30"/>
    <mergeCell ref="H43:K43"/>
    <mergeCell ref="B29:E29"/>
    <mergeCell ref="A25:B25"/>
    <mergeCell ref="B32:B33"/>
    <mergeCell ref="F2:H2"/>
    <mergeCell ref="F9:H9"/>
    <mergeCell ref="K1:N1"/>
    <mergeCell ref="B22:B23"/>
    <mergeCell ref="B18:E18"/>
    <mergeCell ref="H18:K18"/>
    <mergeCell ref="H21:H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0C3E-2584-405E-9DDD-5D65AF868C2E}">
  <sheetPr codeName="Sheet6"/>
  <dimension ref="B2:Z43"/>
  <sheetViews>
    <sheetView workbookViewId="0">
      <selection activeCell="F11" sqref="F11"/>
    </sheetView>
  </sheetViews>
  <sheetFormatPr defaultRowHeight="15" x14ac:dyDescent="0.25"/>
  <cols>
    <col min="2" max="2" width="10.5703125" bestFit="1" customWidth="1"/>
    <col min="3" max="3" width="33.85546875" bestFit="1" customWidth="1"/>
    <col min="4" max="4" width="23.5703125" customWidth="1"/>
    <col min="5" max="5" width="3.140625" customWidth="1"/>
    <col min="6" max="6" width="20.140625" bestFit="1" customWidth="1"/>
    <col min="10" max="10" width="16.42578125" bestFit="1" customWidth="1"/>
    <col min="11" max="11" width="13.140625" bestFit="1" customWidth="1"/>
    <col min="12" max="12" width="16.42578125" bestFit="1" customWidth="1"/>
    <col min="13" max="13" width="13.140625" bestFit="1" customWidth="1"/>
    <col min="18" max="18" width="19.85546875" bestFit="1" customWidth="1"/>
    <col min="23" max="23" width="15.140625" bestFit="1" customWidth="1"/>
    <col min="24" max="24" width="24.85546875" bestFit="1" customWidth="1"/>
    <col min="25" max="25" width="18.42578125" bestFit="1" customWidth="1"/>
    <col min="26" max="26" width="24.140625" bestFit="1" customWidth="1"/>
  </cols>
  <sheetData>
    <row r="2" spans="2:26" x14ac:dyDescent="0.25">
      <c r="C2" s="62" t="s">
        <v>16</v>
      </c>
      <c r="D2" s="63"/>
      <c r="W2" s="62" t="s">
        <v>1</v>
      </c>
      <c r="X2" s="62" t="s">
        <v>2</v>
      </c>
      <c r="Y2" s="62" t="s">
        <v>3</v>
      </c>
      <c r="Z2" s="62" t="s">
        <v>4</v>
      </c>
    </row>
    <row r="3" spans="2:26" x14ac:dyDescent="0.25">
      <c r="C3" s="64">
        <v>11.21</v>
      </c>
      <c r="D3" s="63" t="s">
        <v>17</v>
      </c>
      <c r="W3" s="65" t="s">
        <v>11</v>
      </c>
      <c r="X3" s="66" t="s">
        <v>12</v>
      </c>
      <c r="Y3" s="65">
        <v>25.53</v>
      </c>
      <c r="Z3" s="65">
        <v>54.5</v>
      </c>
    </row>
    <row r="4" spans="2:26" x14ac:dyDescent="0.25">
      <c r="C4" s="64">
        <v>7.26</v>
      </c>
      <c r="D4" s="63" t="s">
        <v>18</v>
      </c>
    </row>
    <row r="5" spans="2:26" x14ac:dyDescent="0.25">
      <c r="R5" s="67" t="s">
        <v>30</v>
      </c>
      <c r="S5" s="68">
        <f>'Simulador Orçamento MT'!K29</f>
        <v>42</v>
      </c>
    </row>
    <row r="7" spans="2:26" x14ac:dyDescent="0.25">
      <c r="C7" s="114" t="s">
        <v>58</v>
      </c>
      <c r="D7" s="115"/>
      <c r="F7" s="114" t="s">
        <v>59</v>
      </c>
      <c r="G7" s="115"/>
      <c r="H7" s="115"/>
      <c r="I7" s="115"/>
      <c r="L7" t="s">
        <v>60</v>
      </c>
      <c r="T7" s="69" t="s">
        <v>61</v>
      </c>
    </row>
    <row r="8" spans="2:26" x14ac:dyDescent="0.25">
      <c r="C8">
        <v>498.97</v>
      </c>
      <c r="D8" s="63" t="s">
        <v>17</v>
      </c>
      <c r="F8" s="70">
        <v>492.06</v>
      </c>
      <c r="G8" s="63" t="s">
        <v>62</v>
      </c>
      <c r="L8" t="s">
        <v>63</v>
      </c>
      <c r="R8" s="71" t="s">
        <v>64</v>
      </c>
      <c r="S8" s="68">
        <f>'Simulador Orçamento MT'!K32</f>
        <v>10</v>
      </c>
      <c r="T8" s="72">
        <f>IF(S10=0,0,S8/S10)</f>
        <v>0.33333333333333331</v>
      </c>
    </row>
    <row r="9" spans="2:26" x14ac:dyDescent="0.25">
      <c r="R9" s="71" t="s">
        <v>65</v>
      </c>
      <c r="S9" s="68">
        <f>'Simulador Orçamento MT'!K31</f>
        <v>20</v>
      </c>
      <c r="T9" s="72">
        <f>IF(S10=0,0,S9/S10)</f>
        <v>0.66666666666666663</v>
      </c>
    </row>
    <row r="10" spans="2:26" x14ac:dyDescent="0.25">
      <c r="B10" s="73"/>
      <c r="C10" s="73">
        <f>IF(S10=0,IF(C8+(S5-2000)*2.3&gt;=$F$10,$F$10,C8+(S5-2000)*2.3),(C8+(S5-2000)*(2.3+S14*0.0012)+S15*1.2)*T8+(C8+(S5-2000)*(2.3+S14*0.0024)+S15*2.4)*T9)</f>
        <v>-4121.91</v>
      </c>
      <c r="D10" s="63" t="s">
        <v>66</v>
      </c>
      <c r="F10" s="74">
        <v>1652.48</v>
      </c>
      <c r="G10" s="63" t="s">
        <v>67</v>
      </c>
      <c r="R10" s="71" t="s">
        <v>68</v>
      </c>
      <c r="S10" s="68">
        <f>SUM(S8:S9)</f>
        <v>30</v>
      </c>
    </row>
    <row r="12" spans="2:26" x14ac:dyDescent="0.25">
      <c r="C12" s="74">
        <f>$F$10+(1236.27+1.2*S10)*T8+(1236.27+2.4*S10)*T9</f>
        <v>2948.75</v>
      </c>
      <c r="D12" s="63" t="s">
        <v>69</v>
      </c>
      <c r="F12" s="73"/>
      <c r="G12" s="63"/>
    </row>
    <row r="14" spans="2:26" x14ac:dyDescent="0.25">
      <c r="C14" s="116" t="s">
        <v>70</v>
      </c>
      <c r="D14" s="117"/>
      <c r="E14" s="117"/>
      <c r="F14" s="118"/>
      <c r="R14" s="67" t="s">
        <v>71</v>
      </c>
      <c r="S14">
        <f>IF(S10&gt;=2000,2000,S10)</f>
        <v>30</v>
      </c>
    </row>
    <row r="15" spans="2:26" x14ac:dyDescent="0.25">
      <c r="C15" s="65"/>
      <c r="D15" s="65" t="s">
        <v>17</v>
      </c>
      <c r="E15" s="65"/>
      <c r="F15" s="65" t="s">
        <v>18</v>
      </c>
      <c r="R15" s="67" t="s">
        <v>72</v>
      </c>
      <c r="S15">
        <f>IF(S10&gt;=2000,S10-2000,0)</f>
        <v>0</v>
      </c>
    </row>
    <row r="16" spans="2:26" x14ac:dyDescent="0.25">
      <c r="C16" s="65">
        <f>IF($S$5&lt;2000,$S$5,1999)</f>
        <v>42</v>
      </c>
      <c r="D16" s="65">
        <f>$C$3*$C$16</f>
        <v>470.82000000000005</v>
      </c>
      <c r="E16" s="65"/>
      <c r="F16" s="65"/>
    </row>
    <row r="17" spans="2:18" x14ac:dyDescent="0.25">
      <c r="C17" s="65">
        <f>IF($S$5&gt;=2000,$S$5-1999,0)</f>
        <v>0</v>
      </c>
      <c r="D17" s="65"/>
      <c r="E17" s="65"/>
      <c r="F17" s="65">
        <f>$C$17*$C$4</f>
        <v>0</v>
      </c>
      <c r="R17" s="67"/>
    </row>
    <row r="18" spans="2:18" x14ac:dyDescent="0.25">
      <c r="R18" s="67"/>
    </row>
    <row r="19" spans="2:18" x14ac:dyDescent="0.25">
      <c r="C19" s="116" t="s">
        <v>73</v>
      </c>
      <c r="D19" s="117"/>
      <c r="E19" s="117"/>
      <c r="F19" s="118"/>
    </row>
    <row r="20" spans="2:18" x14ac:dyDescent="0.25">
      <c r="C20" s="65"/>
      <c r="D20" s="65" t="s">
        <v>17</v>
      </c>
      <c r="E20" s="65"/>
      <c r="F20" s="65" t="s">
        <v>18</v>
      </c>
    </row>
    <row r="21" spans="2:18" x14ac:dyDescent="0.25">
      <c r="C21" s="75">
        <f>IF(1999-'[1]Dados para Orçamento'!I11&lt;0,0,1999-'[1]Dados para Orçamento'!I11)</f>
        <v>1999</v>
      </c>
      <c r="D21" s="65">
        <f>$C$3*$C$21</f>
        <v>22408.79</v>
      </c>
      <c r="E21" s="65"/>
      <c r="F21" s="65"/>
    </row>
    <row r="22" spans="2:18" x14ac:dyDescent="0.25">
      <c r="C22" s="75">
        <f>IF('[1]Dados para Orçamento'!I11&gt;=2000,'[1]Dados para Orçamento'!I9-'[1]Dados para Orçamento'!I11,'[1]Dados para Orçamento'!I9-1999)</f>
        <v>-1999</v>
      </c>
      <c r="D22" s="65"/>
      <c r="E22" s="65"/>
      <c r="F22" s="65">
        <f>$C$22*$C$4</f>
        <v>-14512.74</v>
      </c>
      <c r="H22" s="76" t="s">
        <v>74</v>
      </c>
      <c r="I22" s="77"/>
      <c r="J22" s="77"/>
      <c r="K22" s="77"/>
      <c r="L22" s="77"/>
      <c r="M22" s="77"/>
      <c r="N22" s="77"/>
    </row>
    <row r="24" spans="2:18" x14ac:dyDescent="0.25">
      <c r="H24" s="119" t="s">
        <v>75</v>
      </c>
      <c r="I24" s="78"/>
      <c r="J24" s="78" t="s">
        <v>76</v>
      </c>
      <c r="K24" s="78" t="s">
        <v>77</v>
      </c>
      <c r="L24" s="78" t="s">
        <v>76</v>
      </c>
      <c r="M24" s="78" t="s">
        <v>77</v>
      </c>
      <c r="N24" s="79"/>
    </row>
    <row r="25" spans="2:18" x14ac:dyDescent="0.25">
      <c r="H25" s="120"/>
      <c r="I25" s="80"/>
      <c r="J25" s="80" t="s">
        <v>78</v>
      </c>
      <c r="K25" s="80" t="s">
        <v>79</v>
      </c>
      <c r="L25" s="80" t="s">
        <v>80</v>
      </c>
      <c r="M25" s="80" t="s">
        <v>81</v>
      </c>
      <c r="N25" s="81"/>
    </row>
    <row r="26" spans="2:18" x14ac:dyDescent="0.25">
      <c r="C26" s="63"/>
      <c r="D26" s="63"/>
      <c r="E26" s="63"/>
      <c r="F26" s="63"/>
      <c r="H26" s="120"/>
      <c r="I26" s="82"/>
      <c r="J26" s="82" t="s">
        <v>82</v>
      </c>
      <c r="K26" s="82" t="s">
        <v>83</v>
      </c>
      <c r="L26" s="83" t="s">
        <v>84</v>
      </c>
      <c r="M26" s="84" t="s">
        <v>85</v>
      </c>
      <c r="N26" s="81"/>
    </row>
    <row r="27" spans="2:18" x14ac:dyDescent="0.25">
      <c r="C27" s="63" t="s">
        <v>19</v>
      </c>
      <c r="D27" s="65">
        <f>$D$16</f>
        <v>470.82000000000005</v>
      </c>
      <c r="E27" s="63"/>
      <c r="F27" s="63"/>
      <c r="H27" s="121"/>
      <c r="I27" s="85"/>
      <c r="J27" s="86">
        <v>1798</v>
      </c>
      <c r="K27" s="87">
        <f>IF(AND(S8/1000&gt;0,S8/1000&lt;0.5),0.5,S8/1000)</f>
        <v>0.5</v>
      </c>
      <c r="L27" s="88">
        <v>694</v>
      </c>
      <c r="M27" s="81">
        <f>IF(AND(S9/1000&gt;0,S9/1000&lt;0.5),0.5,S9/1000)</f>
        <v>0.5</v>
      </c>
      <c r="N27" s="81"/>
    </row>
    <row r="28" spans="2:18" x14ac:dyDescent="0.25">
      <c r="C28" s="63" t="s">
        <v>20</v>
      </c>
      <c r="D28" s="65">
        <f>$D$16+$F$17</f>
        <v>470.82000000000005</v>
      </c>
      <c r="E28" s="63"/>
      <c r="F28" s="63"/>
      <c r="H28" s="89" t="s">
        <v>86</v>
      </c>
      <c r="I28" s="90"/>
      <c r="J28" s="90"/>
      <c r="K28" s="90"/>
      <c r="L28" s="90"/>
      <c r="M28" s="90"/>
      <c r="N28" s="91">
        <f>IF(AND(K27=0,M27=0),0,J27*K27+L27*M27)</f>
        <v>1246</v>
      </c>
    </row>
    <row r="30" spans="2:18" x14ac:dyDescent="0.25">
      <c r="B30" s="113" t="s">
        <v>87</v>
      </c>
      <c r="C30" s="113"/>
      <c r="D30" s="73">
        <f>IF('[1]Dados para Orçamento'!H5="Aumento de Potência",0,'[1]Dados para Orçamento'!$I$26)</f>
        <v>0</v>
      </c>
    </row>
    <row r="32" spans="2:18" x14ac:dyDescent="0.25">
      <c r="B32" s="113" t="s">
        <v>88</v>
      </c>
      <c r="C32" s="113"/>
      <c r="D32" s="73">
        <f>IF(S5&lt;2000,C8,IF(AND(S5&gt;=2000,S5&lt;3000)=TRUE,C10,C12))</f>
        <v>498.97</v>
      </c>
    </row>
    <row r="34" spans="2:4" x14ac:dyDescent="0.25">
      <c r="B34" s="113" t="s">
        <v>89</v>
      </c>
      <c r="C34" s="113"/>
      <c r="D34">
        <f>D28</f>
        <v>470.82000000000005</v>
      </c>
    </row>
    <row r="36" spans="2:4" x14ac:dyDescent="0.25">
      <c r="B36" s="113" t="s">
        <v>90</v>
      </c>
      <c r="C36" s="113"/>
      <c r="D36">
        <f>S8*Y3+S9*Z3</f>
        <v>1345.3</v>
      </c>
    </row>
    <row r="38" spans="2:4" x14ac:dyDescent="0.25">
      <c r="B38" s="113" t="s">
        <v>91</v>
      </c>
      <c r="C38" s="113"/>
      <c r="D38" s="92">
        <f>N28</f>
        <v>1246</v>
      </c>
    </row>
    <row r="40" spans="2:4" x14ac:dyDescent="0.25">
      <c r="C40" t="s">
        <v>92</v>
      </c>
      <c r="D40" s="73">
        <f>IF(S5&lt;2000,D36+D34+D32,"")</f>
        <v>2315.09</v>
      </c>
    </row>
    <row r="43" spans="2:4" x14ac:dyDescent="0.25">
      <c r="D43">
        <f>498.97+22408.79+1291.9</f>
        <v>24199.660000000003</v>
      </c>
    </row>
  </sheetData>
  <sheetProtection algorithmName="SHA-512" hashValue="66JHIT3jIzapcupaitMXBwMBdq4jACjUhJU/ba5T3yvVfMcZyfJ0OqMopKtruJPcw2vPTNYLktcd3765KTCTQQ==" saltValue="+pcAyFjXBgLkZZDiR33zrA==" spinCount="100000" sheet="1" objects="1" scenarios="1"/>
  <mergeCells count="10">
    <mergeCell ref="F7:I7"/>
    <mergeCell ref="C14:F14"/>
    <mergeCell ref="C19:F19"/>
    <mergeCell ref="H24:H27"/>
    <mergeCell ref="B30:C30"/>
    <mergeCell ref="B32:C32"/>
    <mergeCell ref="B34:C34"/>
    <mergeCell ref="B36:C36"/>
    <mergeCell ref="B38:C38"/>
    <mergeCell ref="C7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78B08443C79648BD3F98F6D5DFC94F" ma:contentTypeVersion="14" ma:contentTypeDescription="Create a new document." ma:contentTypeScope="" ma:versionID="4f296e2ae0e19f17c8184b992b621328">
  <xsd:schema xmlns:xsd="http://www.w3.org/2001/XMLSchema" xmlns:xs="http://www.w3.org/2001/XMLSchema" xmlns:p="http://schemas.microsoft.com/office/2006/metadata/properties" xmlns:ns1="http://schemas.microsoft.com/sharepoint/v3" xmlns:ns3="62de181a-193c-4cf7-88f0-288350bc71a9" xmlns:ns4="6fbe1f0d-935b-4262-881a-1fcc214a6dfb" targetNamespace="http://schemas.microsoft.com/office/2006/metadata/properties" ma:root="true" ma:fieldsID="9bdc8cd3948f1724e7349e87c640d446" ns1:_="" ns3:_="" ns4:_="">
    <xsd:import namespace="http://schemas.microsoft.com/sharepoint/v3"/>
    <xsd:import namespace="62de181a-193c-4cf7-88f0-288350bc71a9"/>
    <xsd:import namespace="6fbe1f0d-935b-4262-881a-1fcc214a6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e181a-193c-4cf7-88f0-288350bc71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e1f0d-935b-4262-881a-1fcc214a6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C4764-4ABF-4CBD-9262-C4E6FC0B3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05707-DCA4-4966-B7D6-56F0927EA05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3D58CF-C4AB-4B7D-A990-B9EADA3796E7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6fbe1f0d-935b-4262-881a-1fcc214a6dfb"/>
    <ds:schemaRef ds:uri="62de181a-193c-4cf7-88f0-288350bc71a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C6E4DA3-12BB-4017-A5E4-E56268E53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de181a-193c-4cf7-88f0-288350bc71a9"/>
    <ds:schemaRef ds:uri="6fbe1f0d-935b-4262-881a-1fcc214a6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Simulador Orçamento MT</vt:lpstr>
      <vt:lpstr>Folha auxiliar - old</vt:lpstr>
      <vt:lpstr>aux orçamento</vt:lpstr>
      <vt:lpstr>'Simulador Orçamento MT'!Área_de_Impressão</vt:lpstr>
      <vt:lpstr>asd</vt:lpstr>
      <vt:lpstr>Escaloes</vt:lpstr>
    </vt:vector>
  </TitlesOfParts>
  <Company>EDP - Energias de Portugal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Simulador de Orçamento Média Tensão 2015</dc:title>
  <dc:creator>e337779;Sergio Correia Barbosa</dc:creator>
  <cp:lastModifiedBy>GONÇALO CARVALHAS</cp:lastModifiedBy>
  <cp:lastPrinted>2021-01-22T07:39:29Z</cp:lastPrinted>
  <dcterms:created xsi:type="dcterms:W3CDTF">2012-11-23T10:12:53Z</dcterms:created>
  <dcterms:modified xsi:type="dcterms:W3CDTF">2021-01-29T08:35:12Z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ociated Image">
    <vt:lpwstr/>
  </property>
  <property fmtid="{D5CDD505-2E9C-101B-9397-08002B2CF9AE}" pid="3" name="ContentType">
    <vt:lpwstr>Document</vt:lpwstr>
  </property>
  <property fmtid="{D5CDD505-2E9C-101B-9397-08002B2CF9AE}" pid="4" name="Description0">
    <vt:lpwstr/>
  </property>
  <property fmtid="{D5CDD505-2E9C-101B-9397-08002B2CF9AE}" pid="5" name="Related Document">
    <vt:lpwstr/>
  </property>
  <property fmtid="{D5CDD505-2E9C-101B-9397-08002B2CF9AE}" pid="6" name="Document Type">
    <vt:lpwstr>PDF</vt:lpwstr>
  </property>
  <property fmtid="{D5CDD505-2E9C-101B-9397-08002B2CF9AE}" pid="7" name="display_urn:schemas-microsoft-com:office:office#Editor">
    <vt:lpwstr>System Account</vt:lpwstr>
  </property>
  <property fmtid="{D5CDD505-2E9C-101B-9397-08002B2CF9AE}" pid="8" name="xd_Signature">
    <vt:lpwstr/>
  </property>
  <property fmtid="{D5CDD505-2E9C-101B-9397-08002B2CF9AE}" pid="9" name="display_urn:schemas-microsoft-com:office:office#Author">
    <vt:lpwstr>System Account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ContentTypeId">
    <vt:lpwstr>0x0101004478B08443C79648BD3F98F6D5DFC94F</vt:lpwstr>
  </property>
  <property fmtid="{D5CDD505-2E9C-101B-9397-08002B2CF9AE}" pid="13" name="MSIP_Label_9811530c-902c-4b75-8616-d6c82cd1332a_Enabled">
    <vt:lpwstr>true</vt:lpwstr>
  </property>
  <property fmtid="{D5CDD505-2E9C-101B-9397-08002B2CF9AE}" pid="14" name="MSIP_Label_9811530c-902c-4b75-8616-d6c82cd1332a_SetDate">
    <vt:lpwstr>2021-01-21T09:27:19Z</vt:lpwstr>
  </property>
  <property fmtid="{D5CDD505-2E9C-101B-9397-08002B2CF9AE}" pid="15" name="MSIP_Label_9811530c-902c-4b75-8616-d6c82cd1332a_Method">
    <vt:lpwstr>Standard</vt:lpwstr>
  </property>
  <property fmtid="{D5CDD505-2E9C-101B-9397-08002B2CF9AE}" pid="16" name="MSIP_Label_9811530c-902c-4b75-8616-d6c82cd1332a_Name">
    <vt:lpwstr>9811530c-902c-4b75-8616-d6c82cd1332a</vt:lpwstr>
  </property>
  <property fmtid="{D5CDD505-2E9C-101B-9397-08002B2CF9AE}" pid="17" name="MSIP_Label_9811530c-902c-4b75-8616-d6c82cd1332a_SiteId">
    <vt:lpwstr>bf86fbdb-f8c2-440e-923c-05a60dc2bc9b</vt:lpwstr>
  </property>
  <property fmtid="{D5CDD505-2E9C-101B-9397-08002B2CF9AE}" pid="18" name="MSIP_Label_9811530c-902c-4b75-8616-d6c82cd1332a_ActionId">
    <vt:lpwstr>9bdaf9c5-4a57-4810-ad46-a23eda8b6181</vt:lpwstr>
  </property>
  <property fmtid="{D5CDD505-2E9C-101B-9397-08002B2CF9AE}" pid="19" name="MSIP_Label_9811530c-902c-4b75-8616-d6c82cd1332a_ContentBits">
    <vt:lpwstr>0</vt:lpwstr>
  </property>
</Properties>
</file>