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e336967\Documents\Backup Set 2020\Documents\Rebranding E-Redes\Docs Site\DGC\"/>
    </mc:Choice>
  </mc:AlternateContent>
  <xr:revisionPtr revIDLastSave="0" documentId="8_{A5230BF3-4FC1-4389-8003-A659F8A7CF91}" xr6:coauthVersionLast="44" xr6:coauthVersionMax="44" xr10:uidLastSave="{00000000-0000-0000-0000-000000000000}"/>
  <workbookProtection workbookAlgorithmName="SHA-512" workbookHashValue="ykwu4tPGZQY3DdAKCRnUFbDcjMvWw8ahajIvT45PpqoSt9GmguwUDnCep63p1htQsuNelB4vWSEehk7f8BY7ew==" workbookSaltValue="HO/I1SqdH8nwzcrKu0YjYw==" workbookSpinCount="100000" lockStructure="1"/>
  <bookViews>
    <workbookView xWindow="-120" yWindow="-120" windowWidth="29040" windowHeight="15990" xr2:uid="{00000000-000D-0000-FFFF-FFFF00000000}"/>
  </bookViews>
  <sheets>
    <sheet name="Simulador Orçamento BT" sheetId="1" r:id="rId1"/>
    <sheet name="Folha auxiliar" sheetId="3" state="hidden" r:id="rId2"/>
  </sheets>
  <definedNames>
    <definedName name="_xlnm.Print_Area" localSheetId="0">'Simulador Orçamento BT'!$A$1:$N$75</definedName>
    <definedName name="Escaloes">'Folha auxiliar'!$B$4:$B$17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" i="1" l="1"/>
  <c r="Q25" i="1"/>
  <c r="N25" i="1" l="1"/>
  <c r="Q29" i="3" l="1"/>
  <c r="Q20" i="3"/>
  <c r="Q21" i="3"/>
  <c r="Q4" i="3"/>
  <c r="Q25" i="3" s="1"/>
  <c r="O25" i="1"/>
  <c r="M25" i="1"/>
  <c r="C36" i="1" l="1"/>
  <c r="L23" i="1"/>
  <c r="Q12" i="3" l="1"/>
  <c r="L25" i="1"/>
  <c r="K25" i="1" s="1"/>
  <c r="C32" i="1" s="1"/>
  <c r="S25" i="1" l="1"/>
  <c r="L26" i="1"/>
  <c r="C23" i="1"/>
  <c r="B36" i="1" l="1"/>
  <c r="Q7" i="3"/>
  <c r="C21" i="1"/>
  <c r="L21" i="1"/>
  <c r="Q3" i="3" l="1"/>
  <c r="Q28" i="3" l="1"/>
  <c r="Q34" i="3" s="1"/>
  <c r="Q24" i="3"/>
  <c r="Q33" i="3" s="1"/>
  <c r="Q6" i="3"/>
  <c r="Q10" i="3" s="1"/>
  <c r="Q14" i="3" s="1"/>
  <c r="C29" i="1"/>
  <c r="L29" i="1"/>
  <c r="C27" i="1"/>
  <c r="Q37" i="3" l="1"/>
  <c r="M26" i="1"/>
  <c r="B53" i="1" l="1"/>
  <c r="C39" i="1"/>
  <c r="C47" i="1"/>
  <c r="C45" i="1"/>
  <c r="C43" i="1"/>
  <c r="C41" i="1"/>
  <c r="B59" i="1"/>
  <c r="K47" i="1"/>
  <c r="K41" i="1"/>
  <c r="K43" i="1"/>
  <c r="K45" i="1"/>
  <c r="A44" i="1"/>
  <c r="K49" i="1"/>
  <c r="C49" i="1"/>
  <c r="B55" i="1"/>
  <c r="B52" i="1"/>
  <c r="A45" i="1"/>
  <c r="C51" i="1"/>
  <c r="L51" i="1"/>
  <c r="B57" i="1"/>
  <c r="A41" i="1"/>
  <c r="K5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Diogo Cavaleiro</author>
  </authors>
  <commentList>
    <comment ref="P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Diogo Cavaleiro:</t>
        </r>
        <r>
          <rPr>
            <sz val="9"/>
            <color indexed="81"/>
            <rFont val="Tahoma"/>
            <family val="2"/>
          </rPr>
          <t xml:space="preserve">
Pesquisa na tabela do UP</t>
        </r>
      </text>
    </comment>
    <comment ref="P3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Diogo Cavaleiro:</t>
        </r>
        <r>
          <rPr>
            <sz val="9"/>
            <color indexed="81"/>
            <rFont val="Tahoma"/>
            <family val="2"/>
          </rPr>
          <t xml:space="preserve">
Pesquisa na tabela do UE caso ramal subterrâneo</t>
        </r>
      </text>
    </comment>
    <comment ref="P3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Diogo Cavaleiro:</t>
        </r>
        <r>
          <rPr>
            <sz val="9"/>
            <color indexed="81"/>
            <rFont val="Tahoma"/>
            <family val="2"/>
          </rPr>
          <t xml:space="preserve">
Pesquisa na tabela do UE caso ramal aéreo</t>
        </r>
      </text>
    </comment>
  </commentList>
</comments>
</file>

<file path=xl/sharedStrings.xml><?xml version="1.0" encoding="utf-8"?>
<sst xmlns="http://schemas.openxmlformats.org/spreadsheetml/2006/main" count="72" uniqueCount="65">
  <si>
    <t>Simulador do Valor de Orçamento para Ligação à Rede de Baixa Tensão</t>
  </si>
  <si>
    <t>Atenção:</t>
  </si>
  <si>
    <t>- Edifício em regime de propriedade horizontal (Sim/Não)</t>
  </si>
  <si>
    <t>Escalões de Potência</t>
  </si>
  <si>
    <t>&gt; 41,40</t>
  </si>
  <si>
    <t>BT</t>
  </si>
  <si>
    <t>Nível de Tensão</t>
  </si>
  <si>
    <t>Potência Requisitada
[kVA]</t>
  </si>
  <si>
    <t>Ligação Aérea
(€/m)</t>
  </si>
  <si>
    <t>Ligação Subterrânea
(€/m)</t>
  </si>
  <si>
    <t>PR&lt;=20,7</t>
  </si>
  <si>
    <t>20,7&lt;PR&lt;=41,4</t>
  </si>
  <si>
    <t>PR&gt;41,4</t>
  </si>
  <si>
    <t>Potência requisitada</t>
  </si>
  <si>
    <t>Linha a selecionar</t>
  </si>
  <si>
    <t>Coluna a selecionar</t>
  </si>
  <si>
    <t>Valor a multiplicar</t>
  </si>
  <si>
    <t>Comprimento uso partilhado</t>
  </si>
  <si>
    <t>- Este simulador não dispensa, nem substitui, a solicitação do pedido de ligação à rede (PLR), assim como a consulta da legislação e da regulamentação em vigor.</t>
  </si>
  <si>
    <t>- O objetivo deste simulador é ajudá-lo a perceber qual o custo estimado do orçamento para a ligação definitiva da sua instalação à rede pública de distribuição em baixa tensão.</t>
  </si>
  <si>
    <t>Encargos com os elementos de rede para uso exclusivo</t>
  </si>
  <si>
    <t>Ramais subterrâneos</t>
  </si>
  <si>
    <t>Potência Requisitada (kVA)</t>
  </si>
  <si>
    <t>1 a 5 m</t>
  </si>
  <si>
    <t>6 a 10 m</t>
  </si>
  <si>
    <t>11 a 15 m</t>
  </si>
  <si>
    <t>16 a 20 m</t>
  </si>
  <si>
    <t>21 a 25 m</t>
  </si>
  <si>
    <t>26 a 30 m</t>
  </si>
  <si>
    <t>PR ≤ 34,5</t>
  </si>
  <si>
    <t>34,5 &lt; PR ≤ 65,5</t>
  </si>
  <si>
    <t>65,5 &lt; PR ≤ 86,25</t>
  </si>
  <si>
    <t>86,25 &lt; PR ≤ 138</t>
  </si>
  <si>
    <t>138 &lt; PR ≤ 207</t>
  </si>
  <si>
    <t>207 &lt; PR ≤ 414</t>
  </si>
  <si>
    <t>Ramais aéreos</t>
  </si>
  <si>
    <t>Tipo/Potência Requisitada (kVA)</t>
  </si>
  <si>
    <t>Sem apoio</t>
  </si>
  <si>
    <t>1 apoio</t>
  </si>
  <si>
    <t>&gt; 1 apoio</t>
  </si>
  <si>
    <t>Monofásico até 10,35</t>
  </si>
  <si>
    <t>Trifásico até 51,9</t>
  </si>
  <si>
    <t xml:space="preserve">Caso Propriedade Horizontal com valores corretos </t>
  </si>
  <si>
    <t xml:space="preserve">Caso Prédio, 41,4&lt;Preq&lt;200kVA com valores corretos </t>
  </si>
  <si>
    <t>Caso Prédio, Preq&gt; 200kVA - Ligação em Média</t>
  </si>
  <si>
    <t>Caso Prédio &lt;41,4 com valores corretos</t>
  </si>
  <si>
    <t>Caso uma das situações ao lado seja válida</t>
  </si>
  <si>
    <t>Valor de Uso Partilhado</t>
  </si>
  <si>
    <t>Valor de Uso Exclusivo</t>
  </si>
  <si>
    <t>Distância Elementos de Ligação</t>
  </si>
  <si>
    <t>UE se ramal subterrâneo</t>
  </si>
  <si>
    <t>UE se ramal aéreo</t>
  </si>
  <si>
    <t>Tipo de Ramal</t>
  </si>
  <si>
    <t>Distância (m)</t>
  </si>
  <si>
    <t>Comprimento Ramal Uso Exclusivo</t>
  </si>
  <si>
    <t>Valor a multiplicar (caso aéreo)</t>
  </si>
  <si>
    <t>Valor a multiplicar (caso subt.)</t>
  </si>
  <si>
    <t>Encargos com os elementos de rede para uso partilhado</t>
  </si>
  <si>
    <t>Valor dos SL (€)</t>
  </si>
  <si>
    <t>Encargos Comparticipação (€/kW)</t>
  </si>
  <si>
    <t>Nota: Os campos sublinhados a verde devem ser atualizados anualmente.</t>
  </si>
  <si>
    <t>execução da obra</t>
  </si>
  <si>
    <t>Construção</t>
  </si>
  <si>
    <t>- Os valores considerados têm por base os Despachos da Entidade Reguladora dos Serviços Energéticos (ERSE) que podem ser consultados no site desta entidade (www.erse.pt).</t>
  </si>
  <si>
    <t>ubbbb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</si>
</sst>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Border="1" applyAlignment="1"/>
    <xf numFmtId="0" fontId="5" fillId="0" borderId="0" xfId="0" applyFont="1"/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7" fillId="0" borderId="0" xfId="0" applyFont="1" applyAlignment="1">
      <alignment horizontal="justify" vertical="top" wrapText="1"/>
    </xf>
    <xf numFmtId="0" fontId="8" fillId="0" borderId="0" xfId="0" applyFont="1"/>
    <xf numFmtId="0" fontId="7" fillId="0" borderId="0" xfId="0" applyFont="1" applyAlignment="1">
      <alignment vertical="top" wrapText="1"/>
    </xf>
    <xf numFmtId="0" fontId="8" fillId="0" borderId="0" xfId="0" applyNumberFormat="1" applyFont="1"/>
    <xf numFmtId="0" fontId="8" fillId="0" borderId="0" xfId="0" applyFont="1" applyBorder="1"/>
    <xf numFmtId="2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/>
    <xf numFmtId="0" fontId="7" fillId="0" borderId="0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 vertical="top" wrapText="1"/>
    </xf>
    <xf numFmtId="0" fontId="7" fillId="0" borderId="0" xfId="0" quotePrefix="1" applyFont="1" applyBorder="1" applyAlignment="1">
      <alignment vertical="center" wrapText="1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quotePrefix="1" applyFont="1" applyBorder="1" applyAlignment="1">
      <alignment vertical="top" wrapText="1"/>
    </xf>
    <xf numFmtId="1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quotePrefix="1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165" fontId="7" fillId="0" borderId="0" xfId="0" applyNumberFormat="1" applyFont="1" applyAlignment="1">
      <alignment vertical="top" wrapText="1"/>
    </xf>
    <xf numFmtId="44" fontId="7" fillId="0" borderId="0" xfId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9" fillId="4" borderId="2" xfId="0" applyFont="1" applyFill="1" applyBorder="1"/>
    <xf numFmtId="0" fontId="15" fillId="0" borderId="0" xfId="0" applyFont="1"/>
    <xf numFmtId="0" fontId="0" fillId="0" borderId="0" xfId="0" applyFill="1" applyBorder="1" applyAlignment="1">
      <alignment horizontal="left"/>
    </xf>
    <xf numFmtId="0" fontId="9" fillId="4" borderId="10" xfId="0" applyFont="1" applyFill="1" applyBorder="1"/>
    <xf numFmtId="0" fontId="0" fillId="0" borderId="11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0" xfId="0" applyFont="1" applyAlignment="1">
      <alignment wrapText="1"/>
    </xf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/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/>
    <xf numFmtId="0" fontId="9" fillId="0" borderId="0" xfId="0" applyFont="1" applyAlignment="1">
      <alignment horizontal="left"/>
    </xf>
    <xf numFmtId="44" fontId="9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quotePrefix="1" applyFont="1" applyFill="1" applyBorder="1" applyAlignment="1">
      <alignment vertical="center" wrapText="1"/>
    </xf>
    <xf numFmtId="165" fontId="7" fillId="0" borderId="0" xfId="0" applyNumberFormat="1" applyFont="1" applyAlignment="1">
      <alignment horizontal="justify" vertical="top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0" fontId="11" fillId="0" borderId="0" xfId="0" applyFont="1"/>
    <xf numFmtId="0" fontId="18" fillId="0" borderId="0" xfId="0" applyFont="1" applyAlignment="1"/>
    <xf numFmtId="0" fontId="19" fillId="0" borderId="0" xfId="0" applyNumberFormat="1" applyFont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wrapText="1"/>
    </xf>
    <xf numFmtId="0" fontId="19" fillId="0" borderId="0" xfId="0" applyNumberFormat="1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NumberFormat="1" applyFont="1"/>
    <xf numFmtId="165" fontId="12" fillId="0" borderId="0" xfId="0" applyNumberFormat="1" applyFont="1" applyAlignment="1">
      <alignment horizontal="right" vertical="center" wrapText="1"/>
    </xf>
    <xf numFmtId="0" fontId="7" fillId="0" borderId="0" xfId="0" quotePrefix="1" applyFont="1" applyAlignment="1">
      <alignment horizontal="center" vertical="top" wrapText="1"/>
    </xf>
    <xf numFmtId="0" fontId="8" fillId="0" borderId="0" xfId="0" applyFont="1" applyAlignment="1"/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7" fillId="0" borderId="0" xfId="0" quotePrefix="1" applyFont="1" applyAlignment="1">
      <alignment vertical="center" wrapText="1"/>
    </xf>
    <xf numFmtId="0" fontId="7" fillId="0" borderId="0" xfId="0" quotePrefix="1" applyFont="1" applyBorder="1" applyAlignment="1">
      <alignment horizontal="justify" vertical="center" wrapText="1"/>
    </xf>
    <xf numFmtId="0" fontId="7" fillId="0" borderId="0" xfId="0" quotePrefix="1" applyFont="1" applyBorder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quotePrefix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0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justify" vertical="center"/>
    </xf>
    <xf numFmtId="0" fontId="5" fillId="0" borderId="0" xfId="0" quotePrefix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top" wrapText="1"/>
    </xf>
    <xf numFmtId="0" fontId="4" fillId="0" borderId="0" xfId="0" quotePrefix="1" applyFont="1" applyAlignment="1">
      <alignment horizontal="justify" vertical="center" wrapText="1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15">
    <dxf>
      <font>
        <color theme="0"/>
      </font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color theme="0"/>
      </font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theme="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168421</xdr:colOff>
      <xdr:row>9</xdr:row>
      <xdr:rowOff>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B6661C3F-841A-458C-9D5C-ECF3DA2C4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08328" cy="1446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5:X59"/>
  <sheetViews>
    <sheetView showGridLines="0" tabSelected="1" topLeftCell="B1" zoomScale="81" zoomScaleNormal="85" zoomScaleSheetLayoutView="100" workbookViewId="0">
      <selection activeCell="K23" sqref="K23"/>
    </sheetView>
  </sheetViews>
  <sheetFormatPr defaultRowHeight="15" x14ac:dyDescent="0.25"/>
  <cols>
    <col min="1" max="1" width="3.7109375" customWidth="1"/>
    <col min="2" max="2" width="9.7109375" customWidth="1"/>
    <col min="3" max="3" width="14.85546875" customWidth="1"/>
    <col min="4" max="4" width="12.85546875" bestFit="1" customWidth="1"/>
    <col min="7" max="7" width="9.140625" customWidth="1"/>
    <col min="9" max="9" width="9.140625" customWidth="1"/>
    <col min="10" max="10" width="16" customWidth="1"/>
    <col min="11" max="11" width="33.42578125" customWidth="1"/>
    <col min="12" max="12" width="35" customWidth="1"/>
    <col min="13" max="13" width="28" style="22" customWidth="1"/>
    <col min="14" max="15" width="20.140625" style="22" customWidth="1"/>
  </cols>
  <sheetData>
    <row r="5" spans="1:24" ht="11.25" customHeight="1" x14ac:dyDescent="0.25"/>
    <row r="6" spans="1:24" ht="15.75" hidden="1" x14ac:dyDescent="0.25">
      <c r="C6" s="1"/>
      <c r="D6" s="1"/>
      <c r="E6" s="1"/>
      <c r="F6" s="1"/>
      <c r="G6" s="1"/>
    </row>
    <row r="8" spans="1:24" ht="22.5" customHeight="1" x14ac:dyDescent="0.4">
      <c r="A8" s="86" t="s">
        <v>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4"/>
    </row>
    <row r="9" spans="1:24" ht="6.75" customHeight="1" x14ac:dyDescent="0.25"/>
    <row r="10" spans="1:24" ht="19.5" x14ac:dyDescent="0.3">
      <c r="B10" s="2" t="s">
        <v>1</v>
      </c>
    </row>
    <row r="11" spans="1:24" ht="8.4499999999999993" customHeight="1" x14ac:dyDescent="0.25"/>
    <row r="12" spans="1:24" ht="17.100000000000001" customHeight="1" x14ac:dyDescent="0.25">
      <c r="B12" s="87" t="s">
        <v>18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36"/>
      <c r="O12" s="37"/>
      <c r="P12" s="15"/>
      <c r="Q12" s="15"/>
      <c r="R12" s="15"/>
      <c r="S12" s="15"/>
      <c r="T12" s="15"/>
      <c r="U12" s="15"/>
      <c r="V12" s="15"/>
      <c r="W12" s="15"/>
    </row>
    <row r="13" spans="1:24" ht="8.4499999999999993" customHeight="1" x14ac:dyDescent="0.25"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37"/>
      <c r="O13" s="37"/>
      <c r="P13" s="15"/>
      <c r="Q13" s="15"/>
      <c r="R13" s="15"/>
      <c r="S13" s="15"/>
      <c r="T13" s="15"/>
      <c r="U13" s="15"/>
      <c r="V13" s="15"/>
      <c r="W13" s="15"/>
    </row>
    <row r="14" spans="1:24" ht="17.100000000000001" customHeight="1" x14ac:dyDescent="0.25">
      <c r="A14" s="15"/>
      <c r="B14" s="87" t="s">
        <v>19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36"/>
      <c r="O14" s="37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8.4499999999999993" customHeight="1" x14ac:dyDescent="0.25">
      <c r="A15" s="15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37"/>
      <c r="O15" s="37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7.100000000000001" customHeight="1" x14ac:dyDescent="0.25">
      <c r="A16" s="15"/>
      <c r="B16" s="87" t="s">
        <v>63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36"/>
      <c r="O16" s="37"/>
      <c r="P16" s="15"/>
      <c r="Q16" s="15"/>
      <c r="R16" s="15"/>
      <c r="S16" s="15"/>
      <c r="T16" s="15"/>
      <c r="U16" s="15"/>
      <c r="V16" s="15"/>
      <c r="W16" s="15"/>
      <c r="X16" s="15"/>
    </row>
    <row r="17" spans="1:24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7"/>
      <c r="N17" s="37"/>
      <c r="O17" s="37"/>
      <c r="P17" s="15"/>
      <c r="Q17" s="15"/>
      <c r="R17" s="15"/>
      <c r="S17" s="15"/>
      <c r="T17" s="15"/>
      <c r="U17" s="15"/>
      <c r="V17" s="15"/>
      <c r="W17" s="15"/>
      <c r="X17" s="15"/>
    </row>
    <row r="18" spans="1:24" x14ac:dyDescent="0.25">
      <c r="A18" s="1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37"/>
      <c r="N18" s="37"/>
      <c r="O18" s="37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20.100000000000001" customHeight="1" x14ac:dyDescent="0.25">
      <c r="A19" s="15"/>
      <c r="B19" s="25"/>
      <c r="C19" s="88" t="s">
        <v>2</v>
      </c>
      <c r="D19" s="88"/>
      <c r="E19" s="88"/>
      <c r="F19" s="88"/>
      <c r="G19" s="88"/>
      <c r="H19" s="88"/>
      <c r="I19" s="25"/>
      <c r="J19" s="18"/>
      <c r="K19" s="72"/>
      <c r="L19" s="25"/>
      <c r="M19" s="36"/>
      <c r="N19" s="37"/>
      <c r="O19" s="37"/>
      <c r="P19" s="15"/>
      <c r="Q19" s="15"/>
      <c r="R19" s="15"/>
      <c r="S19" s="15"/>
      <c r="T19" s="15"/>
      <c r="U19" s="15"/>
      <c r="V19" s="15"/>
      <c r="W19" s="13"/>
      <c r="X19" s="13"/>
    </row>
    <row r="20" spans="1:24" ht="8.4499999999999993" customHeight="1" x14ac:dyDescent="0.25">
      <c r="A20" s="1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37"/>
      <c r="N20" s="37"/>
      <c r="O20" s="37"/>
      <c r="P20" s="15"/>
      <c r="Q20" s="15"/>
      <c r="R20" s="15"/>
      <c r="S20" s="15"/>
      <c r="T20" s="15"/>
      <c r="U20" s="15"/>
      <c r="V20" s="15"/>
      <c r="W20" s="13"/>
      <c r="X20" s="13"/>
    </row>
    <row r="21" spans="1:24" ht="20.100000000000001" customHeight="1" x14ac:dyDescent="0.3">
      <c r="A21" s="15"/>
      <c r="B21" s="18"/>
      <c r="C21" s="84" t="str">
        <f>IF($K$19="Não","- Escolha um Valor de Potência a Requisitar","")</f>
        <v/>
      </c>
      <c r="D21" s="84"/>
      <c r="E21" s="84"/>
      <c r="F21" s="84"/>
      <c r="G21" s="84"/>
      <c r="H21" s="84"/>
      <c r="I21" s="18"/>
      <c r="J21" s="18"/>
      <c r="K21" s="26" t="s">
        <v>64</v>
      </c>
      <c r="L21" s="20" t="str">
        <f>IF($K$19="Não","[kVA]","")</f>
        <v/>
      </c>
      <c r="M21" s="37"/>
      <c r="N21" s="37"/>
      <c r="O21" s="37"/>
      <c r="P21" s="15"/>
      <c r="Q21" s="15"/>
      <c r="R21" s="15"/>
      <c r="S21" s="15"/>
      <c r="T21" s="15"/>
      <c r="U21" s="15"/>
      <c r="V21" s="15"/>
      <c r="W21" s="13"/>
      <c r="X21" s="13"/>
    </row>
    <row r="22" spans="1:24" ht="8.4499999999999993" customHeight="1" x14ac:dyDescent="0.25">
      <c r="A22" s="1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7"/>
      <c r="N22" s="37"/>
      <c r="O22" s="37"/>
      <c r="P22" s="15"/>
      <c r="Q22" s="15"/>
      <c r="R22" s="15"/>
      <c r="S22" s="15"/>
      <c r="T22" s="15"/>
      <c r="U22" s="15"/>
      <c r="V22" s="15"/>
      <c r="W22" s="13"/>
      <c r="X22" s="13"/>
    </row>
    <row r="23" spans="1:24" ht="24.75" customHeight="1" x14ac:dyDescent="0.3">
      <c r="A23" s="15"/>
      <c r="B23" s="18"/>
      <c r="C23" s="85" t="str">
        <f>IF($K$19="","",IF($K$19="Sim","- Digite o valor da Potência Requisitada que se encontra na ficha electrotécnica",IF($K$21="&gt; 41,40","- Insira o valor de potência a requisitar, com duas casas decimais, utilizando a vírgula como separador decimal (exemplo: 69,00 kVA)","")))</f>
        <v/>
      </c>
      <c r="D23" s="85"/>
      <c r="E23" s="85"/>
      <c r="F23" s="85"/>
      <c r="G23" s="85"/>
      <c r="H23" s="85"/>
      <c r="I23" s="85"/>
      <c r="J23" s="18"/>
      <c r="K23" s="19"/>
      <c r="L23" s="20" t="str">
        <f>IF($K$19="Sim","[kVA]",IF(AND($K$19="Não",$K$21="&gt; 41,40"),"[kVA]",""))</f>
        <v/>
      </c>
      <c r="M23" s="37"/>
      <c r="N23" s="37"/>
      <c r="O23" s="37"/>
      <c r="P23" s="15"/>
      <c r="Q23" s="15"/>
      <c r="R23" s="15"/>
      <c r="S23" s="15"/>
      <c r="T23" s="15"/>
      <c r="U23" s="15"/>
      <c r="V23" s="15"/>
      <c r="W23" s="13"/>
      <c r="X23" s="13"/>
    </row>
    <row r="24" spans="1:24" ht="10.5" customHeight="1" x14ac:dyDescent="0.25">
      <c r="A24" s="15"/>
      <c r="B24" s="18"/>
      <c r="C24" s="85"/>
      <c r="D24" s="85"/>
      <c r="E24" s="85"/>
      <c r="F24" s="85"/>
      <c r="G24" s="85"/>
      <c r="H24" s="85"/>
      <c r="I24" s="85"/>
      <c r="J24" s="21"/>
      <c r="K24" s="76" t="s">
        <v>46</v>
      </c>
      <c r="L24" s="77" t="s">
        <v>45</v>
      </c>
      <c r="M24" s="78" t="s">
        <v>42</v>
      </c>
      <c r="N24" s="78" t="s">
        <v>43</v>
      </c>
      <c r="O24" s="78" t="s">
        <v>44</v>
      </c>
      <c r="P24" s="13"/>
      <c r="Q24" s="13" t="s">
        <v>61</v>
      </c>
      <c r="R24" s="13"/>
      <c r="S24" s="13" t="s">
        <v>62</v>
      </c>
      <c r="T24" s="13"/>
      <c r="U24" s="13"/>
      <c r="V24" s="13"/>
      <c r="W24" s="13"/>
      <c r="X24" s="13"/>
    </row>
    <row r="25" spans="1:24" ht="27.75" customHeight="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7"/>
      <c r="K25" s="79" t="str">
        <f>IF(OR($L$25="ok",$M$25="ok",$N$25="ok")=TRUE,"ok","")</f>
        <v/>
      </c>
      <c r="L25" s="79" t="str">
        <f>IF(AND($K$19="Não",$K$21&lt;=41.4,$K$21&lt;&gt;"")=TRUE,"ok","VER")</f>
        <v>VER</v>
      </c>
      <c r="M25" s="79" t="str">
        <f>IF(AND($K$19="Sim",$K$23&gt;=1.15,$K$23&lt;&gt;"")=TRUE,"ok","VER")</f>
        <v>VER</v>
      </c>
      <c r="N25" s="79" t="str">
        <f>IF(AND($K$19="Não",$K$21="&gt; 41,40",$K$23&gt;41.4,$K$23&lt;=200),"ok","VER")</f>
        <v>VER</v>
      </c>
      <c r="O25" s="79" t="str">
        <f>IF(AND($K$19="Não",$K$21="&gt; 41,40",$K$23&gt;200),"ok","VER")</f>
        <v>VER</v>
      </c>
      <c r="P25" s="80"/>
      <c r="Q25" s="13" t="str">
        <f>IF(AND(K23&lt;&gt;"",K27="Aérea",K29&gt;30),"solicita postes","")</f>
        <v/>
      </c>
      <c r="R25" s="13"/>
      <c r="S25" s="13" t="str">
        <f>IF(AND(K25&lt;&gt;"",OR(K27="Subterrânea",K27="Aérea"),K29&gt;30),"solicita construtor","")</f>
        <v/>
      </c>
      <c r="T25" s="13"/>
      <c r="U25" s="13"/>
      <c r="V25" s="13"/>
      <c r="W25" s="13"/>
      <c r="X25" s="13"/>
    </row>
    <row r="26" spans="1:24" ht="15.75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7"/>
      <c r="K26" s="15"/>
      <c r="L26" s="73" t="str">
        <f>IF($L$25="ok",$K$21,IF($M$25="ok",ROUND($K$23,2),IF($N$25="ok",ROUND($K$23,2),"")))</f>
        <v/>
      </c>
      <c r="M26" s="69" t="str">
        <f>IF(AND(L25="VER",M25="VER",N25="VER")=TRUE,"",IF(IF(AND(OR($K$27="Subterrânea",$K$27="Aérea"),$K$29&lt;&gt;"",$K$29&lt;=600),'Folha auxiliar'!$Q$14,"")&lt;0,0,IF(AND(OR($K$27="Subterrânea",$K$27="Aérea"),$K$29&lt;&gt;"",$K$29&lt;=600),'Folha auxiliar'!$Q$14,"")))</f>
        <v/>
      </c>
      <c r="N26" s="69"/>
      <c r="O26" s="69"/>
      <c r="P26" s="80"/>
      <c r="Q26" s="13"/>
      <c r="R26" s="13"/>
      <c r="S26" s="13"/>
      <c r="T26" s="13"/>
      <c r="U26" s="13"/>
      <c r="V26" s="13"/>
      <c r="W26" s="13"/>
      <c r="X26" s="13"/>
    </row>
    <row r="27" spans="1:24" ht="20.100000000000001" customHeight="1" x14ac:dyDescent="0.3">
      <c r="A27" s="15"/>
      <c r="B27" s="18"/>
      <c r="C27" s="89" t="str">
        <f>IF($K$25&lt;&gt;"","- Selecione o tipo de ligação que pretende (aérea ou subterrânea)","")</f>
        <v/>
      </c>
      <c r="D27" s="89"/>
      <c r="E27" s="89"/>
      <c r="F27" s="89"/>
      <c r="G27" s="89"/>
      <c r="H27" s="89"/>
      <c r="I27" s="89"/>
      <c r="J27" s="18"/>
      <c r="K27" s="27"/>
      <c r="L27" s="70"/>
      <c r="M27" s="36"/>
      <c r="N27" s="37"/>
      <c r="O27" s="37"/>
      <c r="P27" s="15"/>
      <c r="Q27" s="15"/>
      <c r="R27" s="15"/>
      <c r="S27" s="15"/>
      <c r="T27" s="15"/>
      <c r="U27" s="15"/>
      <c r="V27" s="15"/>
      <c r="W27" s="13"/>
      <c r="X27" s="13"/>
    </row>
    <row r="28" spans="1:24" ht="8.4499999999999993" customHeight="1" x14ac:dyDescent="0.25">
      <c r="A28" s="15"/>
      <c r="B28" s="18"/>
      <c r="C28" s="28"/>
      <c r="D28" s="28"/>
      <c r="E28" s="28"/>
      <c r="F28" s="28"/>
      <c r="G28" s="28"/>
      <c r="H28" s="28"/>
      <c r="I28" s="28"/>
      <c r="J28" s="18"/>
      <c r="K28" s="18"/>
      <c r="L28" s="18"/>
      <c r="M28" s="37"/>
      <c r="N28" s="37"/>
      <c r="O28" s="37"/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20.100000000000001" customHeight="1" x14ac:dyDescent="0.3">
      <c r="A29" s="15"/>
      <c r="B29" s="18"/>
      <c r="C29" s="88" t="str">
        <f>IF($K$25&lt;&gt;"","- Digite a distância aproximada entre o ponto de ligação à rede e o ponto de entrega à sua instalação elétrica medida ao longo do caminho viário mais curto","")</f>
        <v/>
      </c>
      <c r="D29" s="88"/>
      <c r="E29" s="88"/>
      <c r="F29" s="88"/>
      <c r="G29" s="88"/>
      <c r="H29" s="88"/>
      <c r="I29" s="88"/>
      <c r="J29" s="28"/>
      <c r="K29" s="29"/>
      <c r="L29" s="20" t="str">
        <f>IF($K$25&lt;&gt;"","[m]","")</f>
        <v/>
      </c>
      <c r="M29" s="37"/>
      <c r="N29" s="37"/>
      <c r="O29" s="37"/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18" customHeight="1" x14ac:dyDescent="0.25">
      <c r="A30" s="15"/>
      <c r="B30" s="18"/>
      <c r="C30" s="88"/>
      <c r="D30" s="88"/>
      <c r="E30" s="88"/>
      <c r="F30" s="88"/>
      <c r="G30" s="88"/>
      <c r="H30" s="88"/>
      <c r="I30" s="88"/>
      <c r="J30" s="18"/>
      <c r="K30" s="18"/>
      <c r="L30" s="18"/>
      <c r="M30" s="82"/>
      <c r="N30" s="37"/>
      <c r="O30" s="37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31.5" customHeight="1" x14ac:dyDescent="0.25">
      <c r="A31" s="15"/>
      <c r="B31" s="18"/>
      <c r="C31" s="88"/>
      <c r="D31" s="88"/>
      <c r="E31" s="88"/>
      <c r="F31" s="88"/>
      <c r="G31" s="88"/>
      <c r="H31" s="88"/>
      <c r="I31" s="88"/>
      <c r="J31" s="28"/>
      <c r="K31" s="30"/>
      <c r="L31" s="28"/>
      <c r="M31" s="82"/>
      <c r="N31" s="37"/>
      <c r="O31" s="37"/>
      <c r="P31" s="15"/>
      <c r="Q31" s="15"/>
      <c r="R31" s="15"/>
      <c r="S31" s="15"/>
      <c r="T31" s="15"/>
      <c r="U31" s="15"/>
      <c r="V31" s="15"/>
      <c r="W31" s="15"/>
      <c r="X31" s="15"/>
    </row>
    <row r="32" spans="1:24" s="5" customFormat="1" ht="18.75" customHeight="1" x14ac:dyDescent="0.3">
      <c r="A32" s="15"/>
      <c r="B32" s="18"/>
      <c r="C32" s="94" t="str">
        <f>IF(AND(K25&lt;&gt;"",K27="Aérea",K29&gt;30),CONCATENATE("- Digite a estimativa do nº de postes para efetuar a ligação.","
- Caso o quererente seja responsável pela construção dos elementos de ligação de uso exclusivo selecione a opção.* "),IF(AND(K25&lt;&gt;"",K27="Subterrânea",K29&gt;30)," - Caso o quererente seja responsável pela construção dos elementos de ligação (uso exclusivo + uso partilhado) selecione a opção.*",""))</f>
        <v/>
      </c>
      <c r="D32" s="94"/>
      <c r="E32" s="94"/>
      <c r="F32" s="94"/>
      <c r="G32" s="94"/>
      <c r="H32" s="94"/>
      <c r="I32" s="94"/>
      <c r="J32" s="28"/>
      <c r="K32" s="29">
        <v>1</v>
      </c>
      <c r="L32" s="28" t="str">
        <f>IF(AND(K23&lt;&gt;"",$K$27="Aérea",K29&gt;30),"[un]","")</f>
        <v/>
      </c>
      <c r="M32" s="82"/>
      <c r="N32" s="37"/>
      <c r="O32" s="37"/>
      <c r="P32" s="15"/>
      <c r="Q32" s="15"/>
      <c r="R32" s="15"/>
      <c r="S32" s="15"/>
      <c r="T32" s="15"/>
      <c r="U32" s="15"/>
      <c r="V32" s="15"/>
      <c r="W32" s="15"/>
      <c r="X32" s="15"/>
    </row>
    <row r="33" spans="1:24" s="5" customFormat="1" ht="18.75" customHeight="1" x14ac:dyDescent="0.25">
      <c r="A33" s="15"/>
      <c r="B33" s="18"/>
      <c r="C33" s="94"/>
      <c r="D33" s="94"/>
      <c r="E33" s="94"/>
      <c r="F33" s="94"/>
      <c r="G33" s="94"/>
      <c r="H33" s="94"/>
      <c r="I33" s="94"/>
      <c r="J33" s="28"/>
      <c r="K33" s="15"/>
      <c r="L33" s="28"/>
      <c r="M33" s="82"/>
      <c r="N33" s="37"/>
      <c r="O33" s="37"/>
      <c r="P33" s="15"/>
      <c r="Q33" s="15"/>
      <c r="R33" s="15"/>
      <c r="S33" s="15"/>
      <c r="T33" s="15"/>
      <c r="U33" s="15"/>
      <c r="V33" s="15"/>
      <c r="W33" s="15"/>
      <c r="X33" s="15"/>
    </row>
    <row r="34" spans="1:24" s="5" customFormat="1" ht="18.75" customHeight="1" x14ac:dyDescent="0.3">
      <c r="A34" s="15"/>
      <c r="B34" s="18"/>
      <c r="C34" s="94"/>
      <c r="D34" s="94"/>
      <c r="E34" s="94"/>
      <c r="F34" s="94"/>
      <c r="G34" s="94"/>
      <c r="H34" s="94"/>
      <c r="I34" s="94"/>
      <c r="J34" s="28"/>
      <c r="K34" s="29"/>
      <c r="L34" s="28"/>
      <c r="M34" s="82"/>
      <c r="N34" s="37"/>
      <c r="O34" s="37"/>
      <c r="P34" s="15"/>
      <c r="Q34" s="15"/>
      <c r="R34" s="15"/>
      <c r="S34" s="15"/>
      <c r="T34" s="15"/>
      <c r="U34" s="15"/>
      <c r="V34" s="15"/>
      <c r="W34" s="15"/>
      <c r="X34" s="15"/>
    </row>
    <row r="35" spans="1:24" ht="10.5" customHeight="1" x14ac:dyDescent="0.25">
      <c r="A35" s="15"/>
      <c r="B35" s="18"/>
      <c r="C35" s="94"/>
      <c r="D35" s="94"/>
      <c r="E35" s="94"/>
      <c r="F35" s="94"/>
      <c r="G35" s="94"/>
      <c r="H35" s="94"/>
      <c r="I35" s="94"/>
      <c r="J35" s="31"/>
      <c r="K35" s="31"/>
      <c r="L35" s="31"/>
      <c r="M35" s="38"/>
      <c r="N35" s="37"/>
      <c r="O35" s="37"/>
      <c r="P35" s="15"/>
      <c r="Q35" s="15"/>
      <c r="R35" s="15"/>
      <c r="S35" s="15"/>
      <c r="T35" s="15"/>
      <c r="U35" s="15"/>
      <c r="V35" s="15"/>
      <c r="W35" s="15"/>
      <c r="X35" s="15"/>
    </row>
    <row r="36" spans="1:24" ht="22.5" customHeight="1" x14ac:dyDescent="0.25">
      <c r="A36" s="15"/>
      <c r="B36" s="32" t="str">
        <f>IF(OR($O$25="ok",AND(OR($K$27="Subterrânea",$K$27="Aérea"),$K$29&gt;600)),"Nota(s):","")</f>
        <v/>
      </c>
      <c r="C36" s="100" t="str">
        <f>IF($O$25="ok",CONCATENATE("Digitou que se trata de um edifício não inserido em propriedade horizontal que necessita de uma potência requisitada superior a 200 kVA."," Neste caso, a regulamentação e estudos técnico-económicos indicam que a ligação deverá ser realizada através da rede de média tensão,"," pelo que, deve utilizar o simulador de orçamento de média tensão."),IF(AND(OR($K$27="Subterrânea",$K$27="Aérea"),$K$29&gt;600),CONCATENATE("Digitou um comprimento superior a 600 metros. Nestes casos, a ligação pode estar condicionada à construção de infra-estruturas de rede de média tensão e um posto de transformação no local,"," pelo que, o orçamento só pode ser apresentado após fazer o pedido de requisição de ligação"," para análise e estudo da solução técnica a implementar no terreno."),""))</f>
        <v/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37"/>
      <c r="O36" s="37"/>
      <c r="P36" s="15"/>
      <c r="Q36" s="15"/>
      <c r="R36" s="15"/>
      <c r="S36" s="15"/>
      <c r="T36" s="15"/>
      <c r="U36" s="15"/>
      <c r="V36" s="15"/>
      <c r="W36" s="15"/>
      <c r="X36" s="15"/>
    </row>
    <row r="37" spans="1:24" ht="30.75" customHeight="1" x14ac:dyDescent="0.25">
      <c r="A37" s="15"/>
      <c r="B37" s="15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37"/>
      <c r="O37" s="37"/>
      <c r="P37" s="15"/>
      <c r="Q37" s="15"/>
      <c r="R37" s="15"/>
      <c r="S37" s="15"/>
      <c r="T37" s="15"/>
      <c r="U37" s="15"/>
      <c r="V37" s="15"/>
      <c r="W37" s="15"/>
      <c r="X37" s="15"/>
    </row>
    <row r="38" spans="1:24" ht="5.25" customHeight="1" x14ac:dyDescent="0.25">
      <c r="A38" s="15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38"/>
      <c r="N38" s="37"/>
      <c r="O38" s="37"/>
      <c r="P38" s="15"/>
      <c r="Q38" s="15"/>
      <c r="R38" s="15"/>
      <c r="S38" s="15"/>
      <c r="T38" s="15"/>
      <c r="U38" s="15"/>
      <c r="V38" s="15"/>
      <c r="W38" s="15"/>
      <c r="X38" s="15"/>
    </row>
    <row r="39" spans="1:24" ht="18.75" customHeight="1" x14ac:dyDescent="0.25">
      <c r="A39" s="15"/>
      <c r="C39" s="90" t="str">
        <f>IF(OR(O$25="ok",AND(OR($K$27="Subterrânea",$K$27="Aérea"),$K$29&gt;600)),"Para obter mais esclarecimentos ou informações de como poderá solicitar uma requisição de ligação à rede, dirija-se a um Ponto de Atendimento E-REDES, consulte o site e-redes.pt ou utilize o telef. 808 100 100 ou 218 100 100 (dias úteis das 08-20h).",IF($M$26&lt;&gt;"","Descrição dos valores da estimativa:",""))</f>
        <v/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37"/>
      <c r="O39" s="37"/>
      <c r="P39" s="15"/>
      <c r="Q39" s="15"/>
      <c r="R39" s="15"/>
      <c r="S39" s="15"/>
      <c r="T39" s="15"/>
      <c r="U39" s="15"/>
      <c r="V39" s="15"/>
      <c r="W39" s="15"/>
      <c r="X39" s="15"/>
    </row>
    <row r="40" spans="1:24" ht="18.75" customHeight="1" x14ac:dyDescent="0.25">
      <c r="A40" s="15"/>
      <c r="B40" s="74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37"/>
      <c r="O40" s="37"/>
      <c r="P40" s="15"/>
      <c r="Q40" s="15"/>
      <c r="R40" s="15"/>
      <c r="S40" s="15"/>
      <c r="T40" s="15"/>
      <c r="U40" s="15"/>
      <c r="V40" s="15"/>
      <c r="W40" s="15"/>
      <c r="X40" s="15"/>
    </row>
    <row r="41" spans="1:24" ht="19.5" customHeight="1" x14ac:dyDescent="0.25">
      <c r="A41" s="93" t="str">
        <f>IF($O$25="ok","",IF($M$26&lt;&gt;""," Encargos Iniciais",""))</f>
        <v/>
      </c>
      <c r="B41" s="93"/>
      <c r="C41" s="91" t="str">
        <f>IF($O$25="ok","",IF($M$26&lt;&gt;""," ▪ Serviços de ligação, nos termos do art. 120.º do RRC.",""))</f>
        <v/>
      </c>
      <c r="D41" s="91"/>
      <c r="E41" s="91"/>
      <c r="F41" s="91"/>
      <c r="G41" s="91"/>
      <c r="H41" s="91"/>
      <c r="I41" s="91"/>
      <c r="J41" s="91"/>
      <c r="K41" s="33" t="str">
        <f>IF($O$25="ok","",IF($M$26&lt;&gt;"",'Folha auxiliar'!$F$4,""))</f>
        <v/>
      </c>
      <c r="L41" s="33"/>
      <c r="M41" s="38"/>
      <c r="N41" s="37"/>
      <c r="O41" s="37"/>
      <c r="P41" s="15"/>
      <c r="Q41" s="15"/>
      <c r="R41" s="15"/>
      <c r="S41" s="15"/>
      <c r="T41" s="15"/>
      <c r="U41" s="15"/>
      <c r="V41" s="15"/>
      <c r="W41" s="15"/>
      <c r="X41" s="15"/>
    </row>
    <row r="42" spans="1:24" ht="5.25" customHeight="1" x14ac:dyDescent="0.25">
      <c r="A42" s="93"/>
      <c r="B42" s="9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7"/>
      <c r="O42" s="37"/>
      <c r="P42" s="15"/>
      <c r="Q42" s="15"/>
      <c r="R42" s="15"/>
      <c r="S42" s="15"/>
      <c r="T42" s="15"/>
      <c r="U42" s="15"/>
      <c r="V42" s="15"/>
      <c r="W42" s="15"/>
      <c r="X42" s="15"/>
    </row>
    <row r="43" spans="1:24" ht="19.5" customHeight="1" x14ac:dyDescent="0.25">
      <c r="A43" s="93"/>
      <c r="B43" s="93"/>
      <c r="C43" s="91" t="str">
        <f>IF($O$25="ok","",IF($M$26&lt;&gt;""," ▪ Comparticipação nas redes, nos termos do art. 119.º do RRC.",""))</f>
        <v/>
      </c>
      <c r="D43" s="91"/>
      <c r="E43" s="91"/>
      <c r="F43" s="91"/>
      <c r="G43" s="91"/>
      <c r="H43" s="91"/>
      <c r="I43" s="91"/>
      <c r="J43" s="91"/>
      <c r="K43" s="34" t="str">
        <f>IF($O$25="ok","",IF($M$26&lt;&gt;"",IF($L$25="ok",'Folha auxiliar'!$H$4*'Simulador Orçamento BT'!$L$26,IF($M$25="ok",'Folha auxiliar'!$H$4*$L$26,IF($N$25="ok",'Folha auxiliar'!$H$4*$L$26,""))),""))</f>
        <v/>
      </c>
      <c r="L43" s="16"/>
      <c r="M43" s="38"/>
      <c r="N43" s="37"/>
      <c r="O43" s="37"/>
      <c r="P43" s="15"/>
      <c r="Q43" s="15"/>
      <c r="R43" s="15"/>
      <c r="S43" s="15"/>
      <c r="T43" s="15"/>
      <c r="U43" s="15"/>
      <c r="V43" s="15"/>
      <c r="W43" s="15"/>
      <c r="X43" s="15"/>
    </row>
    <row r="44" spans="1:24" ht="20.100000000000001" customHeight="1" x14ac:dyDescent="0.25">
      <c r="A44" s="92" t="str">
        <f>IF($O$25="ok","",IF($M$26&lt;&gt;""," ------------------------------------------------------------------------------------------------------------------------------------------------------------------------------------",""))</f>
        <v/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71"/>
      <c r="M44" s="38"/>
      <c r="N44" s="37"/>
      <c r="O44" s="37"/>
      <c r="P44" s="15"/>
      <c r="Q44" s="15"/>
      <c r="R44" s="15"/>
      <c r="S44" s="15"/>
      <c r="T44" s="15"/>
      <c r="U44" s="15"/>
      <c r="V44" s="15"/>
      <c r="W44" s="15"/>
      <c r="X44" s="15"/>
    </row>
    <row r="45" spans="1:24" ht="19.5" customHeight="1" x14ac:dyDescent="0.25">
      <c r="A45" s="93" t="str">
        <f>IF($O$25="ok","",IF($M$26&lt;&gt;""," Encargos com Orçamento",""))</f>
        <v/>
      </c>
      <c r="B45" s="93"/>
      <c r="C45" s="91" t="str">
        <f>IF($O$25="ok","",IF($M$26&lt;&gt;""," ▪ Elementos de ligação de uso exclusivo, nos termos do art. 129.º do RRC.",""))</f>
        <v/>
      </c>
      <c r="D45" s="91"/>
      <c r="E45" s="91"/>
      <c r="F45" s="91"/>
      <c r="G45" s="91"/>
      <c r="H45" s="91"/>
      <c r="I45" s="91"/>
      <c r="J45" s="91"/>
      <c r="K45" s="34" t="str">
        <f>IF($O$25="ok","",IF(AND($M$26&lt;&gt;"",K34&lt;&gt;"Construção pelo Requerente",K29&gt;30),'Folha auxiliar'!Q37,IF(AND($K$25&lt;&gt;"",K34="Construção pelo Requerente",K29&gt;30),"","")))</f>
        <v/>
      </c>
      <c r="L45" s="15"/>
      <c r="M45" s="38"/>
      <c r="N45" s="37"/>
      <c r="O45" s="37"/>
      <c r="P45" s="15"/>
      <c r="Q45" s="15"/>
      <c r="R45" s="15"/>
      <c r="S45" s="15"/>
      <c r="T45" s="15"/>
      <c r="U45" s="15"/>
      <c r="V45" s="15"/>
      <c r="W45" s="15"/>
      <c r="X45" s="15"/>
    </row>
    <row r="46" spans="1:24" ht="5.25" customHeight="1" x14ac:dyDescent="0.25">
      <c r="A46" s="93"/>
      <c r="B46" s="9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38"/>
      <c r="N46" s="37"/>
      <c r="O46" s="37"/>
      <c r="P46" s="15"/>
      <c r="Q46" s="15"/>
      <c r="R46" s="15"/>
      <c r="S46" s="15"/>
      <c r="T46" s="15"/>
      <c r="U46" s="15"/>
      <c r="V46" s="15"/>
      <c r="W46" s="15"/>
      <c r="X46" s="15"/>
    </row>
    <row r="47" spans="1:24" ht="19.5" customHeight="1" x14ac:dyDescent="0.25">
      <c r="A47" s="93"/>
      <c r="B47" s="93"/>
      <c r="C47" s="91" t="str">
        <f>IF($O$25="ok","",IF($M$26&lt;&gt;""," ▪ Elementos de ligação de uso partilhado, nos termos do art. 130.º do RRC.",""))</f>
        <v/>
      </c>
      <c r="D47" s="91"/>
      <c r="E47" s="91"/>
      <c r="F47" s="91"/>
      <c r="G47" s="91"/>
      <c r="H47" s="91"/>
      <c r="I47" s="91"/>
      <c r="J47" s="91"/>
      <c r="K47" s="34" t="str">
        <f>IF(OR($O$25="ok",AND($K$29&lt;=30)),"",IF(AND($M$26&lt;&gt;"",$K$27="Subterrânea",$K$29&lt;&gt;"",$K$29&gt;30,$K$34&lt;&gt;"Construção pelo Requerente"),'Folha auxiliar'!$Q$14,IF(AND($M$26&lt;&gt;"",$K$27="Subterrânea",$K$29&lt;&gt;"",$K$29&gt;30,$K$34="Construção pelo Requerente"),"",IF(AND($M$26&lt;&gt;"",$K$27="Aérea",$K$29&lt;&gt;"",$K$29&gt;30,$K$34&lt;&gt;"Construção pelo Requerente"),'Folha auxiliar'!$Q$14,IF(AND($M$26&lt;&gt;"",$K$27="Aérea",$K$29&lt;&gt;"",$K$29&gt;30,$K$34="Construção pelo Requerente"),'Folha auxiliar'!$Q$14)))))</f>
        <v/>
      </c>
      <c r="L47" s="16"/>
      <c r="M47" s="38"/>
      <c r="N47" s="37"/>
      <c r="O47" s="37"/>
      <c r="P47" s="15"/>
      <c r="Q47" s="15"/>
      <c r="R47" s="15"/>
      <c r="S47" s="15"/>
      <c r="T47" s="15"/>
      <c r="U47" s="15"/>
      <c r="V47" s="15"/>
      <c r="W47" s="15"/>
      <c r="X47" s="15"/>
    </row>
    <row r="48" spans="1:24" ht="5.25" customHeight="1" x14ac:dyDescent="0.25">
      <c r="A48" s="93"/>
      <c r="B48" s="9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38"/>
      <c r="N48" s="37"/>
      <c r="O48" s="37"/>
      <c r="P48" s="15"/>
      <c r="Q48" s="15"/>
      <c r="R48" s="15"/>
      <c r="S48" s="15"/>
      <c r="T48" s="15"/>
      <c r="U48" s="15"/>
      <c r="V48" s="15"/>
      <c r="W48" s="15"/>
      <c r="X48" s="15"/>
    </row>
    <row r="49" spans="1:24" ht="19.5" customHeight="1" x14ac:dyDescent="0.25">
      <c r="A49" s="93"/>
      <c r="B49" s="93"/>
      <c r="C49" s="91" t="str">
        <f>IF($O$25="ok","",IF($M$26&lt;&gt;""," ▪ Eventuais encargos devidos a terceiros.",""))</f>
        <v/>
      </c>
      <c r="D49" s="91"/>
      <c r="E49" s="91"/>
      <c r="F49" s="91"/>
      <c r="G49" s="91"/>
      <c r="H49" s="91"/>
      <c r="I49" s="91"/>
      <c r="J49" s="91"/>
      <c r="K49" s="35" t="str">
        <f>IF($O$25="ok","",IF($M$26&lt;&gt;"","(a definir)",""))</f>
        <v/>
      </c>
      <c r="L49" s="16"/>
      <c r="M49" s="38"/>
      <c r="N49" s="37"/>
      <c r="O49" s="37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19.5" customHeight="1" x14ac:dyDescent="0.25">
      <c r="C50" s="3"/>
      <c r="D50" s="3"/>
      <c r="E50" s="3"/>
      <c r="F50" s="3"/>
      <c r="G50" s="3"/>
      <c r="H50" s="3"/>
      <c r="I50" s="3"/>
      <c r="J50" s="3"/>
      <c r="K50" s="3"/>
      <c r="L50" s="3"/>
      <c r="M50" s="24"/>
    </row>
    <row r="51" spans="1:24" ht="28.5" customHeight="1" x14ac:dyDescent="0.25">
      <c r="C51" s="96" t="str">
        <f>IF($O$25="ok","",IF($M$26&lt;&gt;"","Valor total estimado do orçamento:",""))</f>
        <v/>
      </c>
      <c r="D51" s="97"/>
      <c r="E51" s="97"/>
      <c r="F51" s="97"/>
      <c r="G51" s="97"/>
      <c r="H51" s="97"/>
      <c r="I51" s="97"/>
      <c r="J51" s="97"/>
      <c r="K51" s="81" t="str">
        <f>IF($O$25="ok","",IF($M$26&lt;&gt;"",SUM(K41,K43,K45,K47),""))</f>
        <v/>
      </c>
      <c r="L51" s="98" t="str">
        <f>IF($O$25="ok","",IF($M$26&lt;&gt;"","(valor sem IVA)",""))</f>
        <v/>
      </c>
      <c r="M51" s="99"/>
    </row>
    <row r="52" spans="1:24" ht="29.25" customHeight="1" x14ac:dyDescent="0.3">
      <c r="B52" s="75" t="str">
        <f>IF($O$25="ok","",IF($M$26&lt;&gt;"","Nota(s):",""))</f>
        <v/>
      </c>
    </row>
    <row r="53" spans="1:24" ht="42.75" customHeight="1" x14ac:dyDescent="0.25">
      <c r="B53" s="101" t="str">
        <f>IF($O$25="ok","",IF(AND($M$26&lt;&gt;"",K29&lt;=30),CONCATENATE("*O requerente é responsável pela construção dos Elementos de Uso Exclusivo.",
" (Estes elementos correspondem ao troço de ligação mais próximo da instalação até ao comprimento máximo de 30 metros)."),IF(AND($M$26&lt;&gt;"",K29&gt;30,K27="Aérea"),CONCATENATE("*O requerente poderá executar a construção dos elementos de Uso Exclusivo ou, em alternativa, solicitar à E-REDES a sua construção."," Estes elementos correspondem ao troço de ligação mais próximo da instalação até ao comprimento máximo de 30 metros."),IF(AND($M$26&lt;&gt;"",K29&gt;30,K27="Subterrânea",K34="Construção pelo Requerente"),"*Nestas condições, a construção dos elementos de ligação por parte do requerente necessita de autorização prévia da E-REDES para o efeito!",IF(AND($M$26&lt;&gt;"",K29&gt;30,K27="Subterrânea",K34="Construção pela E-REDES")," *Os elementos de ligação de Uso Exclusivo correspondem ao troço de ligação mais próximo da instalação até ao comprimento máximo de 30 metros.","")
))))</f>
        <v/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1:24" ht="8.25" customHeight="1" x14ac:dyDescent="0.25"/>
    <row r="55" spans="1:24" ht="78" customHeight="1" x14ac:dyDescent="0.25">
      <c r="B55" s="101" t="str">
        <f>IF($O$25="ok","",IF($M$26&lt;&gt;"",CONCATENATE("O valor estimado é baseado apenas nos elementos fornecidos pelo interessado. Deve ter-se em atenção que os dados técnicos de viabilidade no terreno podem ser diferentes,"," assim como podem surgir eventuais encargos com taxas de licenciamento dos elementos de ligação a construir ou valores devidos pela emissão de pareceres, licenças ou garantias que sejam necessárias para o mesmo fim,"," os quais são da responsabilidade do requisitante."),""))</f>
        <v/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1:24" ht="8.25" customHeight="1" x14ac:dyDescent="0.25"/>
    <row r="57" spans="1:24" ht="75.75" customHeight="1" x14ac:dyDescent="0.25">
      <c r="B57" s="101" t="str">
        <f>IF($O$25="ok","",IF($M$26&lt;&gt;"",CONCATENATE("Caso a instalação a ligar se encontre a uma distância superior a 600 metros do posto de transformação mais próximo,"," a presente estimativa está condicionada à eventual construção de infra-estruturas de rede de média tensão e de um posto de transformação no local,"," pelo que, só após fazer o pedido de requisição de ligação se pode determinar com rigor a solução técnica a implementar e o orçamento."),""))</f>
        <v/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1:24" ht="8.25" customHeight="1" x14ac:dyDescent="0.25"/>
    <row r="59" spans="1:24" ht="51" customHeight="1" x14ac:dyDescent="0.25">
      <c r="B59" s="95" t="str">
        <f>IF($O$25="ok","",IF($M$26&lt;&gt;"",CONCATENATE("Para obter mais esclarecimentos ou informações de como poderá solicitar uma requisição de ligação à rede, dirija-se a um Ponto de Atendimento E-REDES, consulte o site e-redes.pt"," ou ligue para a linha de Apoio ao Cliente (808 100 100 ou 218 100 100, dias úteis, 8h-22h, custo chamada definido pelas condições do seu tarifário). ",""),""))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</sheetData>
  <sheetProtection algorithmName="SHA-512" hashValue="aTd8HuZCiEPJ6IEWAbm2FWTQfAiqoUO+OVIgaLCOLbAPSUXQHy1/rRcboK+o+faDIeyxmjDZy5Wm3p8lOlxDow==" saltValue="nT9sW0HkZ6Yd5RM9WJDsKA==" spinCount="100000" sheet="1" selectLockedCells="1"/>
  <protectedRanges>
    <protectedRange sqref="K27 K29 K34 K32" name="Range2"/>
    <protectedRange sqref="K19 K21 K23" name="Range1"/>
  </protectedRanges>
  <dataConsolidate/>
  <mergeCells count="26">
    <mergeCell ref="B59:M59"/>
    <mergeCell ref="C51:J51"/>
    <mergeCell ref="L51:M51"/>
    <mergeCell ref="C49:J49"/>
    <mergeCell ref="C36:M37"/>
    <mergeCell ref="A41:B43"/>
    <mergeCell ref="B53:M53"/>
    <mergeCell ref="B55:M55"/>
    <mergeCell ref="B57:M57"/>
    <mergeCell ref="C27:I27"/>
    <mergeCell ref="C29:I31"/>
    <mergeCell ref="C39:M40"/>
    <mergeCell ref="C47:J47"/>
    <mergeCell ref="C45:J45"/>
    <mergeCell ref="C43:J43"/>
    <mergeCell ref="C41:J41"/>
    <mergeCell ref="A44:K44"/>
    <mergeCell ref="A45:B49"/>
    <mergeCell ref="C32:I35"/>
    <mergeCell ref="C21:H21"/>
    <mergeCell ref="C23:I24"/>
    <mergeCell ref="A8:N8"/>
    <mergeCell ref="B12:M12"/>
    <mergeCell ref="B14:M14"/>
    <mergeCell ref="B16:M16"/>
    <mergeCell ref="C19:H19"/>
  </mergeCells>
  <conditionalFormatting sqref="K27">
    <cfRule type="expression" dxfId="14" priority="38" stopIfTrue="1">
      <formula>IF($K$25&lt;&gt;"",TRUE,FALSE)</formula>
    </cfRule>
    <cfRule type="expression" dxfId="13" priority="39" stopIfTrue="1">
      <formula>IF($K$25="",TRUE,FALSE)</formula>
    </cfRule>
  </conditionalFormatting>
  <conditionalFormatting sqref="K29">
    <cfRule type="expression" dxfId="12" priority="36" stopIfTrue="1">
      <formula>IF($K$25&lt;&gt;"",TRUE,FALSE)</formula>
    </cfRule>
    <cfRule type="expression" dxfId="11" priority="37" stopIfTrue="1">
      <formula>IF($K$25="",TRUE,FALSE)</formula>
    </cfRule>
  </conditionalFormatting>
  <conditionalFormatting sqref="K21">
    <cfRule type="expression" dxfId="10" priority="46" stopIfTrue="1">
      <formula>IF(OR($K$19="Sim",$K$19=""),TRUE,FALSE)</formula>
    </cfRule>
    <cfRule type="expression" dxfId="9" priority="47" stopIfTrue="1">
      <formula>IF($K$19="Não",TRUE,FALSE)</formula>
    </cfRule>
  </conditionalFormatting>
  <conditionalFormatting sqref="K23">
    <cfRule type="expression" dxfId="8" priority="51" stopIfTrue="1">
      <formula>IF(AND($K$19="Não",$K$21="&gt; 41,40")=TRUE,TRUE,FALSE)</formula>
    </cfRule>
    <cfRule type="expression" dxfId="7" priority="52" stopIfTrue="1">
      <formula>IF(OR($K$19="Não",$K$19=""),TRUE,FALSE)</formula>
    </cfRule>
    <cfRule type="expression" dxfId="6" priority="53" stopIfTrue="1">
      <formula>IF($K$19="Sim",TRUE,FALSE)</formula>
    </cfRule>
  </conditionalFormatting>
  <conditionalFormatting sqref="C51">
    <cfRule type="expression" dxfId="5" priority="28" stopIfTrue="1">
      <formula>IF($K$29="",TRUE,FALSE)</formula>
    </cfRule>
  </conditionalFormatting>
  <conditionalFormatting sqref="L51">
    <cfRule type="expression" dxfId="4" priority="27" stopIfTrue="1">
      <formula>IF($K$29="",TRUE,FALSE)</formula>
    </cfRule>
  </conditionalFormatting>
  <conditionalFormatting sqref="K32">
    <cfRule type="expression" dxfId="3" priority="1" stopIfTrue="1">
      <formula>IF($Q$25&lt;&gt;"",TRUE,FALSE)</formula>
    </cfRule>
    <cfRule type="expression" dxfId="2" priority="2" stopIfTrue="1">
      <formula>IF($Q$25="",TRUE,FALSE)</formula>
    </cfRule>
    <cfRule type="expression" priority="9">
      <formula>IF($K$25="",TRUE,FALSE)</formula>
    </cfRule>
    <cfRule type="expression" priority="10">
      <formula>IF($K$25&lt;&gt;"",TRUE,FALSE)</formula>
    </cfRule>
  </conditionalFormatting>
  <conditionalFormatting sqref="K34">
    <cfRule type="expression" priority="3">
      <formula>IF($K$25="",TRUE,FALSE)</formula>
    </cfRule>
    <cfRule type="expression" dxfId="1" priority="4" stopIfTrue="1">
      <formula>IF($S$25&lt;&gt;"",TRUE,FALSE)</formula>
    </cfRule>
    <cfRule type="expression" dxfId="0" priority="5" stopIfTrue="1">
      <formula>IF($S$25="",TRUE,FALSE)</formula>
    </cfRule>
    <cfRule type="expression" priority="6">
      <formula>IF($K$25&lt;&gt;"",TRUE,FALSE)</formula>
    </cfRule>
  </conditionalFormatting>
  <dataValidations count="7">
    <dataValidation type="list" allowBlank="1" showErrorMessage="1" errorTitle="Dados inválidos" error="Deverá selecionar ou digitar Sim ou Não" promptTitle="Informação" prompt="Responda Sim ou Não" sqref="K19" xr:uid="{00000000-0002-0000-0000-000000000000}">
      <formula1>"Sim, Não"</formula1>
    </dataValidation>
    <dataValidation type="list" allowBlank="1" showInputMessage="1" showErrorMessage="1" sqref="K27" xr:uid="{00000000-0002-0000-0000-000001000000}">
      <formula1>"Aérea, Subterrânea"</formula1>
    </dataValidation>
    <dataValidation type="decimal" operator="greaterThanOrEqual" allowBlank="1" showInputMessage="1" showErrorMessage="1" errorTitle="Dados incorrectos" error="Deverá digitar um número positivo" sqref="K29" xr:uid="{00000000-0002-0000-0000-000002000000}">
      <formula1>0</formula1>
    </dataValidation>
    <dataValidation type="list" allowBlank="1" showInputMessage="1" showErrorMessage="1" sqref="K21" xr:uid="{00000000-0002-0000-0000-000003000000}">
      <formula1>IF($K$19="Não",Escaloes,"")</formula1>
    </dataValidation>
    <dataValidation type="decimal" operator="greaterThanOrEqual" allowBlank="1" showInputMessage="1" showErrorMessage="1" errorTitle="Dados inválidos" error="Se respondeu Sim o valor mínimo é de 1,15kVA_x000a_Caso tenha selecionado Não e &gt;41,40 kVA deverá digitar um número com duas casas decimais acima de 41,40 kVA" sqref="K23" xr:uid="{00000000-0002-0000-0000-000004000000}">
      <formula1>IF(AND($K$19="Sim",$K$23&gt;=1.15)=TRUE,1.15,41.41)</formula1>
    </dataValidation>
    <dataValidation type="list" operator="greaterThanOrEqual" allowBlank="1" showInputMessage="1" showErrorMessage="1" errorTitle="Dados incorrectos" error="Deverá selecionar uma opção da lista." sqref="K32" xr:uid="{00000000-0002-0000-0000-000005000000}">
      <formula1>"0,1,&gt;1"</formula1>
    </dataValidation>
    <dataValidation type="list" operator="greaterThanOrEqual" allowBlank="1" showInputMessage="1" showErrorMessage="1" errorTitle="Dados incorrectos" error="Deverá selecionar uma opção da lista." sqref="K34" xr:uid="{00000000-0002-0000-0000-000006000000}">
      <formula1>"Construção pela E-REDES, Construção pelo Requerente"</formula1>
    </dataValidation>
  </dataValidations>
  <pageMargins left="0.70866141732283472" right="0.70866141732283472" top="0.39370078740157483" bottom="0.19685039370078741" header="0.31496062992125984" footer="0.31496062992125984"/>
  <pageSetup paperSize="9" scale="59" fitToHeight="0" orientation="portrait" r:id="rId1"/>
  <headerFooter>
    <oddFooter>&amp;RPag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Q37"/>
  <sheetViews>
    <sheetView workbookViewId="0">
      <selection activeCell="F16" sqref="F16"/>
    </sheetView>
  </sheetViews>
  <sheetFormatPr defaultRowHeight="15" x14ac:dyDescent="0.25"/>
  <cols>
    <col min="1" max="5" width="9.140625" style="5" customWidth="1"/>
    <col min="6" max="6" width="20.28515625" style="5" customWidth="1"/>
    <col min="7" max="7" width="2.5703125" style="5" customWidth="1"/>
    <col min="8" max="8" width="29.28515625" style="5" customWidth="1"/>
    <col min="9" max="9" width="12" style="5" customWidth="1"/>
    <col min="10" max="10" width="10.5703125" style="5" customWidth="1"/>
    <col min="11" max="11" width="21.5703125" style="5" customWidth="1"/>
    <col min="12" max="12" width="19.85546875" style="5" customWidth="1"/>
    <col min="13" max="13" width="13.7109375" style="5" customWidth="1"/>
    <col min="14" max="14" width="22" style="5" customWidth="1"/>
    <col min="15" max="15" width="9.140625" style="5" customWidth="1"/>
    <col min="16" max="16" width="32.140625" style="5" bestFit="1" customWidth="1"/>
    <col min="17" max="17" width="13.7109375" style="5" customWidth="1"/>
    <col min="18" max="18" width="9.140625" style="5" customWidth="1"/>
    <col min="19" max="16384" width="9.140625" style="5"/>
  </cols>
  <sheetData>
    <row r="1" spans="2:17" x14ac:dyDescent="0.25">
      <c r="K1" s="102" t="s">
        <v>57</v>
      </c>
      <c r="L1" s="102"/>
      <c r="M1" s="102"/>
      <c r="N1" s="102"/>
      <c r="O1" s="57"/>
      <c r="P1" s="57"/>
      <c r="Q1" s="57"/>
    </row>
    <row r="2" spans="2:17" ht="27.75" customHeight="1" x14ac:dyDescent="0.25">
      <c r="B2" s="5" t="s">
        <v>3</v>
      </c>
      <c r="F2" s="104" t="s">
        <v>5</v>
      </c>
      <c r="G2" s="104"/>
      <c r="H2" s="104"/>
      <c r="K2" s="6" t="s">
        <v>6</v>
      </c>
      <c r="L2" s="7" t="s">
        <v>7</v>
      </c>
      <c r="M2" s="7" t="s">
        <v>8</v>
      </c>
      <c r="N2" s="7" t="s">
        <v>9</v>
      </c>
    </row>
    <row r="3" spans="2:17" x14ac:dyDescent="0.25">
      <c r="F3" s="8" t="s">
        <v>58</v>
      </c>
      <c r="G3" s="8"/>
      <c r="H3" s="8" t="s">
        <v>59</v>
      </c>
      <c r="J3" s="5">
        <v>1</v>
      </c>
      <c r="K3" s="8" t="s">
        <v>5</v>
      </c>
      <c r="L3" s="9" t="s">
        <v>10</v>
      </c>
      <c r="M3" s="10">
        <v>7.97</v>
      </c>
      <c r="N3" s="10">
        <v>21.69</v>
      </c>
      <c r="P3" s="67" t="s">
        <v>13</v>
      </c>
      <c r="Q3" s="12" t="e">
        <f>ROUND('Simulador Orçamento BT'!$L$26,2)</f>
        <v>#VALUE!</v>
      </c>
    </row>
    <row r="4" spans="2:17" x14ac:dyDescent="0.25">
      <c r="B4" s="5">
        <v>1.1499999999999999</v>
      </c>
      <c r="F4" s="11">
        <v>38.81</v>
      </c>
      <c r="G4" s="8"/>
      <c r="H4" s="11">
        <v>11.05</v>
      </c>
      <c r="J4" s="5">
        <v>2</v>
      </c>
      <c r="K4" s="8" t="s">
        <v>5</v>
      </c>
      <c r="L4" s="9" t="s">
        <v>11</v>
      </c>
      <c r="M4" s="10">
        <v>9.1199999999999992</v>
      </c>
      <c r="N4" s="10">
        <v>22.83</v>
      </c>
      <c r="P4" s="67" t="s">
        <v>49</v>
      </c>
      <c r="Q4" s="55">
        <f>'Simulador Orçamento BT'!K29</f>
        <v>0</v>
      </c>
    </row>
    <row r="5" spans="2:17" x14ac:dyDescent="0.25">
      <c r="B5" s="5">
        <v>2.2999999999999998</v>
      </c>
      <c r="J5" s="5">
        <v>3</v>
      </c>
      <c r="K5" s="8" t="s">
        <v>5</v>
      </c>
      <c r="L5" s="9" t="s">
        <v>12</v>
      </c>
      <c r="M5" s="10">
        <v>12.56</v>
      </c>
      <c r="N5" s="10">
        <v>30.29</v>
      </c>
      <c r="Q5" s="12"/>
    </row>
    <row r="6" spans="2:17" x14ac:dyDescent="0.25">
      <c r="B6" s="5">
        <v>3.45</v>
      </c>
      <c r="P6" s="5" t="s">
        <v>14</v>
      </c>
      <c r="Q6" s="12" t="e">
        <f>IF($Q$3&lt;=20.7,1,IF(AND($Q$3&gt;20.7,$Q$3&lt;=41.4),2,3))</f>
        <v>#VALUE!</v>
      </c>
    </row>
    <row r="7" spans="2:17" x14ac:dyDescent="0.25">
      <c r="B7" s="5">
        <v>4.5999999999999996</v>
      </c>
      <c r="P7" s="5" t="s">
        <v>15</v>
      </c>
      <c r="Q7" s="12">
        <f>IF('Simulador Orçamento BT'!$K$27="Aérea",4,5)</f>
        <v>5</v>
      </c>
    </row>
    <row r="8" spans="2:17" x14ac:dyDescent="0.25">
      <c r="B8" s="5">
        <v>5.75</v>
      </c>
      <c r="Q8" s="12"/>
    </row>
    <row r="9" spans="2:17" x14ac:dyDescent="0.25">
      <c r="B9" s="5">
        <v>6.9</v>
      </c>
      <c r="D9" s="103" t="s">
        <v>60</v>
      </c>
      <c r="E9" s="103"/>
      <c r="F9" s="103"/>
      <c r="G9" s="103"/>
      <c r="H9" s="103"/>
      <c r="I9" s="103"/>
      <c r="Q9" s="12"/>
    </row>
    <row r="10" spans="2:17" x14ac:dyDescent="0.25">
      <c r="B10" s="5">
        <v>10.35</v>
      </c>
      <c r="P10" s="5" t="s">
        <v>16</v>
      </c>
      <c r="Q10" s="12" t="e">
        <f>VLOOKUP($Q$6,$J$2:$N$5,$Q$7,FALSE)</f>
        <v>#VALUE!</v>
      </c>
    </row>
    <row r="11" spans="2:17" x14ac:dyDescent="0.25">
      <c r="B11" s="5">
        <v>13.8</v>
      </c>
      <c r="Q11" s="12"/>
    </row>
    <row r="12" spans="2:17" x14ac:dyDescent="0.25">
      <c r="B12" s="5">
        <v>17.25</v>
      </c>
      <c r="P12" s="5" t="s">
        <v>17</v>
      </c>
      <c r="Q12" s="12">
        <f>IF(ROUND('Simulador Orçamento BT'!$K$29,0)-30&lt;0,0,ROUND('Simulador Orçamento BT'!$K$29,0)-30)</f>
        <v>0</v>
      </c>
    </row>
    <row r="13" spans="2:17" x14ac:dyDescent="0.25">
      <c r="B13" s="5">
        <v>20.7</v>
      </c>
      <c r="Q13" s="12"/>
    </row>
    <row r="14" spans="2:17" x14ac:dyDescent="0.25">
      <c r="B14" s="5">
        <v>27.6</v>
      </c>
      <c r="P14" s="23" t="s">
        <v>47</v>
      </c>
      <c r="Q14" s="68" t="e">
        <f>IF(Q3&lt;&gt;"",Q12*Q10,0)</f>
        <v>#VALUE!</v>
      </c>
    </row>
    <row r="15" spans="2:17" x14ac:dyDescent="0.25">
      <c r="B15" s="5">
        <v>34.5</v>
      </c>
    </row>
    <row r="16" spans="2:17" x14ac:dyDescent="0.25">
      <c r="B16" s="5">
        <v>41.4</v>
      </c>
    </row>
    <row r="17" spans="2:17" x14ac:dyDescent="0.25">
      <c r="B17" s="12" t="s">
        <v>4</v>
      </c>
      <c r="H17" s="105" t="s">
        <v>20</v>
      </c>
      <c r="I17" s="105"/>
      <c r="J17" s="105"/>
      <c r="K17" s="105"/>
      <c r="L17" s="105"/>
      <c r="M17" s="105"/>
      <c r="N17" s="105"/>
    </row>
    <row r="19" spans="2:17" ht="15.75" thickBot="1" x14ac:dyDescent="0.3">
      <c r="G19" s="5">
        <v>1</v>
      </c>
      <c r="H19" s="5">
        <v>2</v>
      </c>
      <c r="I19" s="5">
        <v>3</v>
      </c>
      <c r="J19" s="5">
        <v>4</v>
      </c>
      <c r="K19" s="5">
        <v>5</v>
      </c>
      <c r="L19" s="5">
        <v>6</v>
      </c>
      <c r="M19" s="5">
        <v>7</v>
      </c>
      <c r="N19" s="5">
        <v>8</v>
      </c>
    </row>
    <row r="20" spans="2:17" ht="15.75" thickBot="1" x14ac:dyDescent="0.3">
      <c r="H20" s="47" t="s">
        <v>21</v>
      </c>
      <c r="I20" s="106" t="s">
        <v>53</v>
      </c>
      <c r="J20" s="107"/>
      <c r="K20" s="107"/>
      <c r="L20" s="107"/>
      <c r="M20" s="107"/>
      <c r="N20" s="108"/>
      <c r="P20" s="46" t="s">
        <v>52</v>
      </c>
      <c r="Q20" s="12" t="str">
        <f>IF('Simulador Orçamento BT'!K27="Aérea","Aéreo","Subterrâneo")</f>
        <v>Subterrâneo</v>
      </c>
    </row>
    <row r="21" spans="2:17" ht="15.75" customHeight="1" thickBot="1" x14ac:dyDescent="0.3">
      <c r="H21" s="49" t="s">
        <v>22</v>
      </c>
      <c r="I21" s="50" t="s">
        <v>23</v>
      </c>
      <c r="J21" s="50" t="s">
        <v>24</v>
      </c>
      <c r="K21" s="50" t="s">
        <v>25</v>
      </c>
      <c r="L21" s="50" t="s">
        <v>26</v>
      </c>
      <c r="M21" s="50" t="s">
        <v>27</v>
      </c>
      <c r="N21" s="51" t="s">
        <v>28</v>
      </c>
      <c r="P21" s="5" t="s">
        <v>54</v>
      </c>
      <c r="Q21" s="55">
        <f>IF('Simulador Orçamento BT'!K29&lt;30,'Simulador Orçamento BT'!K29,30)</f>
        <v>0</v>
      </c>
    </row>
    <row r="22" spans="2:17" x14ac:dyDescent="0.25">
      <c r="G22" s="45">
        <v>1</v>
      </c>
      <c r="H22" s="48" t="s">
        <v>29</v>
      </c>
      <c r="I22" s="58">
        <v>278.69</v>
      </c>
      <c r="J22" s="58">
        <v>374.41</v>
      </c>
      <c r="K22" s="58">
        <v>470.17</v>
      </c>
      <c r="L22" s="58">
        <v>564.64</v>
      </c>
      <c r="M22" s="58">
        <v>660.38</v>
      </c>
      <c r="N22" s="59">
        <v>755.5</v>
      </c>
      <c r="Q22" s="12"/>
    </row>
    <row r="23" spans="2:17" x14ac:dyDescent="0.25">
      <c r="G23" s="45">
        <v>2</v>
      </c>
      <c r="H23" s="41" t="s">
        <v>30</v>
      </c>
      <c r="I23" s="60">
        <v>284.75</v>
      </c>
      <c r="J23" s="60">
        <v>385.92</v>
      </c>
      <c r="K23" s="60">
        <v>487.13</v>
      </c>
      <c r="L23" s="60">
        <v>587.66999999999996</v>
      </c>
      <c r="M23" s="60">
        <v>688.86</v>
      </c>
      <c r="N23" s="61">
        <v>790.02</v>
      </c>
      <c r="P23" s="23" t="s">
        <v>50</v>
      </c>
      <c r="Q23" s="12"/>
    </row>
    <row r="24" spans="2:17" x14ac:dyDescent="0.25">
      <c r="G24" s="45">
        <v>3</v>
      </c>
      <c r="H24" s="41" t="s">
        <v>31</v>
      </c>
      <c r="I24" s="60">
        <v>344.11</v>
      </c>
      <c r="J24" s="60">
        <v>453.2</v>
      </c>
      <c r="K24" s="60">
        <v>562.22</v>
      </c>
      <c r="L24" s="60">
        <v>671.29</v>
      </c>
      <c r="M24" s="60">
        <v>780.33</v>
      </c>
      <c r="N24" s="61">
        <v>889.39</v>
      </c>
      <c r="P24" s="5" t="s">
        <v>14</v>
      </c>
      <c r="Q24" s="12" t="e">
        <f>IF($Q$3&lt;=34.5,1,IF(AND($Q$3&gt;34.5,$Q$3&lt;=65.5),2,IF(AND($Q$3&gt;65.5,$Q$3&lt;=86.25),3,IF(AND($Q$3&gt;86.25,$Q$3&lt;=138),4,5))))</f>
        <v>#VALUE!</v>
      </c>
    </row>
    <row r="25" spans="2:17" x14ac:dyDescent="0.25">
      <c r="G25" s="45">
        <v>4</v>
      </c>
      <c r="H25" s="41" t="s">
        <v>32</v>
      </c>
      <c r="I25" s="60">
        <v>384.11</v>
      </c>
      <c r="J25" s="60">
        <v>525.88</v>
      </c>
      <c r="K25" s="60">
        <v>671.91</v>
      </c>
      <c r="L25" s="60">
        <v>813.65</v>
      </c>
      <c r="M25" s="60">
        <v>958.46</v>
      </c>
      <c r="N25" s="61">
        <v>1105.08</v>
      </c>
      <c r="P25" s="5" t="s">
        <v>15</v>
      </c>
      <c r="Q25" s="12">
        <f>IF(AND($Q$4&gt;=0,$Q$4&lt;=5),3,IF(AND($Q$4&gt;=6,$Q$4&lt;=10),4,IF(AND($Q$4&gt;=11,$Q$4&lt;=15),5,IF(AND($Q$4&gt;=16,$Q$4&lt;=20),6,IF(AND($Q$4&gt;=21,$Q$4&lt;=25),7,8)))))</f>
        <v>3</v>
      </c>
    </row>
    <row r="26" spans="2:17" x14ac:dyDescent="0.25">
      <c r="G26" s="45">
        <v>5</v>
      </c>
      <c r="H26" s="41" t="s">
        <v>33</v>
      </c>
      <c r="I26" s="60">
        <v>421.68</v>
      </c>
      <c r="J26" s="60">
        <v>596.16</v>
      </c>
      <c r="K26" s="60">
        <v>773.07</v>
      </c>
      <c r="L26" s="60">
        <v>946.34</v>
      </c>
      <c r="M26" s="60">
        <v>1123.24</v>
      </c>
      <c r="N26" s="61">
        <v>1300.76</v>
      </c>
      <c r="Q26" s="12"/>
    </row>
    <row r="27" spans="2:17" ht="15.75" thickBot="1" x14ac:dyDescent="0.3">
      <c r="G27" s="45">
        <v>6</v>
      </c>
      <c r="H27" s="43" t="s">
        <v>34</v>
      </c>
      <c r="I27" s="62">
        <v>673.51</v>
      </c>
      <c r="J27" s="62">
        <v>942.03</v>
      </c>
      <c r="K27" s="62">
        <v>1213.82</v>
      </c>
      <c r="L27" s="62">
        <v>1498.63</v>
      </c>
      <c r="M27" s="62">
        <v>1753.62</v>
      </c>
      <c r="N27" s="63">
        <v>2025.49</v>
      </c>
      <c r="P27" s="23" t="s">
        <v>51</v>
      </c>
      <c r="Q27" s="12"/>
    </row>
    <row r="28" spans="2:17" x14ac:dyDescent="0.25">
      <c r="P28" s="5" t="s">
        <v>14</v>
      </c>
      <c r="Q28" s="12" t="e">
        <f>IF($Q$3&lt;=10.35,1,2)</f>
        <v>#VALUE!</v>
      </c>
    </row>
    <row r="29" spans="2:17" x14ac:dyDescent="0.25">
      <c r="P29" s="5" t="s">
        <v>15</v>
      </c>
      <c r="Q29" s="12">
        <f>IF('Simulador Orçamento BT'!K32=0,3,IF('Simulador Orçamento BT'!K32=1,4,5))</f>
        <v>4</v>
      </c>
    </row>
    <row r="30" spans="2:17" ht="15.75" thickBot="1" x14ac:dyDescent="0.3">
      <c r="G30" s="53">
        <v>1</v>
      </c>
      <c r="H30" s="5">
        <v>2</v>
      </c>
      <c r="I30" s="54">
        <v>3</v>
      </c>
      <c r="J30" s="54">
        <v>4</v>
      </c>
      <c r="K30" s="54">
        <v>5</v>
      </c>
      <c r="Q30" s="12"/>
    </row>
    <row r="31" spans="2:17" x14ac:dyDescent="0.25">
      <c r="H31" s="44" t="s">
        <v>35</v>
      </c>
      <c r="I31" s="39"/>
      <c r="J31" s="39"/>
      <c r="K31" s="40"/>
      <c r="P31" s="52"/>
      <c r="Q31" s="12"/>
    </row>
    <row r="32" spans="2:17" x14ac:dyDescent="0.25">
      <c r="H32" s="41" t="s">
        <v>36</v>
      </c>
      <c r="I32" s="8" t="s">
        <v>37</v>
      </c>
      <c r="J32" s="8" t="s">
        <v>38</v>
      </c>
      <c r="K32" s="42" t="s">
        <v>39</v>
      </c>
      <c r="Q32" s="12"/>
    </row>
    <row r="33" spans="7:17" x14ac:dyDescent="0.25">
      <c r="H33" s="41"/>
      <c r="I33" s="8"/>
      <c r="J33" s="8"/>
      <c r="K33" s="42"/>
      <c r="P33" s="5" t="s">
        <v>56</v>
      </c>
      <c r="Q33" s="56" t="e">
        <f>VLOOKUP($Q$24,$G$22:$N$27,$Q$25)</f>
        <v>#VALUE!</v>
      </c>
    </row>
    <row r="34" spans="7:17" x14ac:dyDescent="0.25">
      <c r="G34" s="5">
        <v>1</v>
      </c>
      <c r="H34" s="41" t="s">
        <v>40</v>
      </c>
      <c r="I34" s="10">
        <v>93.93</v>
      </c>
      <c r="J34" s="10">
        <v>342.9</v>
      </c>
      <c r="K34" s="64">
        <v>682.18</v>
      </c>
      <c r="P34" s="5" t="s">
        <v>55</v>
      </c>
      <c r="Q34" s="12" t="e">
        <f>VLOOKUP($Q$28,$G$34:$K$35,$Q$29,FALSE)</f>
        <v>#VALUE!</v>
      </c>
    </row>
    <row r="35" spans="7:17" ht="15.75" thickBot="1" x14ac:dyDescent="0.3">
      <c r="G35" s="5">
        <v>2</v>
      </c>
      <c r="H35" s="43" t="s">
        <v>41</v>
      </c>
      <c r="I35" s="65">
        <v>141.77000000000001</v>
      </c>
      <c r="J35" s="65">
        <v>480.42</v>
      </c>
      <c r="K35" s="66">
        <v>913.62</v>
      </c>
      <c r="Q35" s="12"/>
    </row>
    <row r="36" spans="7:17" x14ac:dyDescent="0.25">
      <c r="Q36" s="12"/>
    </row>
    <row r="37" spans="7:17" x14ac:dyDescent="0.25">
      <c r="P37" s="23" t="s">
        <v>48</v>
      </c>
      <c r="Q37" s="68" t="e">
        <f>IF(Q20="Subterrâneo",Q33,Q34)</f>
        <v>#VALUE!</v>
      </c>
    </row>
  </sheetData>
  <sheetProtection algorithmName="SHA-512" hashValue="PxyARgh8D7YFDd7QpMSeTyVqDthU9g9leF0BeJqhGfR7CoqdHPhO6opcbTqadc4sT2hScIL/dVR70O7Sf+SY2g==" saltValue="5wbc2MJtlKPOoWiMeDzaSA==" spinCount="100000" sheet="1" objects="1" scenarios="1"/>
  <mergeCells count="5">
    <mergeCell ref="K1:N1"/>
    <mergeCell ref="D9:I9"/>
    <mergeCell ref="F2:H2"/>
    <mergeCell ref="H17:N17"/>
    <mergeCell ref="I20:N20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D371C8A846F34491C5D6FEC2065DC5" ma:contentTypeVersion="14" ma:contentTypeDescription="Create a new document." ma:contentTypeScope="" ma:versionID="3697dea4e035f44daf01e5f7619fdb8b">
  <xsd:schema xmlns:xsd="http://www.w3.org/2001/XMLSchema" xmlns:xs="http://www.w3.org/2001/XMLSchema" xmlns:p="http://schemas.microsoft.com/office/2006/metadata/properties" xmlns:ns1="http://schemas.microsoft.com/sharepoint/v3" xmlns:ns3="5e6bea60-4c26-4f6d-8267-39357e11d776" xmlns:ns4="a18befb8-94bf-46a8-96aa-4802a549be30" targetNamespace="http://schemas.microsoft.com/office/2006/metadata/properties" ma:root="true" ma:fieldsID="50767011ed0c477d178691f3545d3200" ns1:_="" ns3:_="" ns4:_="">
    <xsd:import namespace="http://schemas.microsoft.com/sharepoint/v3"/>
    <xsd:import namespace="5e6bea60-4c26-4f6d-8267-39357e11d776"/>
    <xsd:import namespace="a18befb8-94bf-46a8-96aa-4802a549be3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6bea60-4c26-4f6d-8267-39357e11d7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8befb8-94bf-46a8-96aa-4802a549b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3CED12E-D318-42A4-A6B8-7D9045C80442}">
  <ds:schemaRefs>
    <ds:schemaRef ds:uri="http://www.w3.org/XML/1998/namespace"/>
    <ds:schemaRef ds:uri="http://schemas.microsoft.com/sharepoint/v3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a18befb8-94bf-46a8-96aa-4802a549be30"/>
    <ds:schemaRef ds:uri="http://schemas.openxmlformats.org/package/2006/metadata/core-properties"/>
    <ds:schemaRef ds:uri="http://schemas.microsoft.com/office/infopath/2007/PartnerControls"/>
    <ds:schemaRef ds:uri="5e6bea60-4c26-4f6d-8267-39357e11d77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72936EA-7EBA-4E0E-9283-CF5E08FAD4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EB340C-0EF7-4E59-A12F-9CFEDF42A1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e6bea60-4c26-4f6d-8267-39357e11d776"/>
    <ds:schemaRef ds:uri="a18befb8-94bf-46a8-96aa-4802a549b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3F77127-F60B-42D4-A296-8F0449EE76A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Simulador Orçamento BT</vt:lpstr>
      <vt:lpstr>Folha auxiliar</vt:lpstr>
      <vt:lpstr>'Simulador Orçamento BT'!Área_de_Impressão</vt:lpstr>
      <vt:lpstr>Escaloes</vt:lpstr>
    </vt:vector>
  </TitlesOfParts>
  <Company>EDP - Energias de Portugal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Simulador de Orçamento Baixa Tensão 2015</dc:title>
  <dc:creator>e337779;Sergio Correia Barbosa</dc:creator>
  <cp:lastModifiedBy>GONÇALO CARVALHAS</cp:lastModifiedBy>
  <cp:lastPrinted>2013-12-15T18:41:00Z</cp:lastPrinted>
  <dcterms:created xsi:type="dcterms:W3CDTF">2012-11-23T10:12:53Z</dcterms:created>
  <dcterms:modified xsi:type="dcterms:W3CDTF">2021-02-03T18:39:09Z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System Account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ContentTypeId">
    <vt:lpwstr>0x010100F4D371C8A846F34491C5D6FEC2065DC5</vt:lpwstr>
  </property>
  <property fmtid="{D5CDD505-2E9C-101B-9397-08002B2CF9AE}" pid="9" name="MSIP_Label_9811530c-902c-4b75-8616-d6c82cd1332a_Enabled">
    <vt:lpwstr>true</vt:lpwstr>
  </property>
  <property fmtid="{D5CDD505-2E9C-101B-9397-08002B2CF9AE}" pid="10" name="MSIP_Label_9811530c-902c-4b75-8616-d6c82cd1332a_SetDate">
    <vt:lpwstr>2021-02-03T18:38:59Z</vt:lpwstr>
  </property>
  <property fmtid="{D5CDD505-2E9C-101B-9397-08002B2CF9AE}" pid="11" name="MSIP_Label_9811530c-902c-4b75-8616-d6c82cd1332a_Method">
    <vt:lpwstr>Standard</vt:lpwstr>
  </property>
  <property fmtid="{D5CDD505-2E9C-101B-9397-08002B2CF9AE}" pid="12" name="MSIP_Label_9811530c-902c-4b75-8616-d6c82cd1332a_Name">
    <vt:lpwstr>9811530c-902c-4b75-8616-d6c82cd1332a</vt:lpwstr>
  </property>
  <property fmtid="{D5CDD505-2E9C-101B-9397-08002B2CF9AE}" pid="13" name="MSIP_Label_9811530c-902c-4b75-8616-d6c82cd1332a_SiteId">
    <vt:lpwstr>bf86fbdb-f8c2-440e-923c-05a60dc2bc9b</vt:lpwstr>
  </property>
  <property fmtid="{D5CDD505-2E9C-101B-9397-08002B2CF9AE}" pid="14" name="MSIP_Label_9811530c-902c-4b75-8616-d6c82cd1332a_ActionId">
    <vt:lpwstr>2a63b2bb-df5e-44b7-814c-7bcdc4781c1e</vt:lpwstr>
  </property>
  <property fmtid="{D5CDD505-2E9C-101B-9397-08002B2CF9AE}" pid="15" name="MSIP_Label_9811530c-902c-4b75-8616-d6c82cd1332a_ContentBits">
    <vt:lpwstr>0</vt:lpwstr>
  </property>
</Properties>
</file>